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AAC\Desktop\New folder\"/>
    </mc:Choice>
  </mc:AlternateContent>
  <xr:revisionPtr revIDLastSave="0" documentId="13_ncr:1_{B404608D-CD14-4385-AE42-A71E778CC689}" xr6:coauthVersionLast="45" xr6:coauthVersionMax="45" xr10:uidLastSave="{00000000-0000-0000-0000-000000000000}"/>
  <bookViews>
    <workbookView xWindow="-108" yWindow="-108" windowWidth="23256" windowHeight="12576" firstSheet="1" activeTab="3" xr2:uid="{00000000-000D-0000-FFFF-FFFF00000000}"/>
  </bookViews>
  <sheets>
    <sheet name="MONTHENTRY" sheetId="8" state="hidden" r:id="rId1"/>
    <sheet name="Sum &amp; FG" sheetId="4" r:id="rId2"/>
    <sheet name="SG Details" sheetId="1" r:id="rId3"/>
    <sheet name="summary (2)" sheetId="15" r:id="rId4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Details'!$A$1:$R$53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1" i="15" l="1"/>
  <c r="M36" i="15"/>
  <c r="M30" i="15"/>
  <c r="M29" i="15"/>
  <c r="M28" i="15"/>
  <c r="M25" i="15"/>
  <c r="M21" i="15"/>
  <c r="M20" i="15"/>
  <c r="M17" i="15"/>
  <c r="M14" i="15"/>
  <c r="M12" i="15"/>
  <c r="K43" i="15"/>
  <c r="M43" i="15" s="1"/>
  <c r="K42" i="15"/>
  <c r="M42" i="15" s="1"/>
  <c r="K41" i="15"/>
  <c r="K40" i="15"/>
  <c r="M40" i="15" s="1"/>
  <c r="K39" i="15"/>
  <c r="M39" i="15" s="1"/>
  <c r="K36" i="15"/>
  <c r="K35" i="15"/>
  <c r="M35" i="15" s="1"/>
  <c r="K34" i="15"/>
  <c r="K33" i="15"/>
  <c r="K31" i="15"/>
  <c r="M31" i="15" s="1"/>
  <c r="K30" i="15"/>
  <c r="K29" i="15"/>
  <c r="K28" i="15"/>
  <c r="K27" i="15"/>
  <c r="M27" i="15" s="1"/>
  <c r="K26" i="15"/>
  <c r="M26" i="15" s="1"/>
  <c r="K25" i="15"/>
  <c r="K24" i="15"/>
  <c r="M24" i="15" s="1"/>
  <c r="K23" i="15"/>
  <c r="M23" i="15" s="1"/>
  <c r="K21" i="15"/>
  <c r="K20" i="15"/>
  <c r="K19" i="15"/>
  <c r="M19" i="15" s="1"/>
  <c r="K18" i="15"/>
  <c r="M18" i="15" s="1"/>
  <c r="K17" i="15"/>
  <c r="K14" i="15"/>
  <c r="K12" i="15"/>
  <c r="K11" i="15"/>
  <c r="M11" i="15" s="1"/>
  <c r="K10" i="15"/>
  <c r="M10" i="15" s="1"/>
  <c r="K8" i="15"/>
  <c r="M8" i="15" s="1"/>
  <c r="J38" i="15"/>
  <c r="K38" i="15" s="1"/>
  <c r="M38" i="15" s="1"/>
  <c r="J37" i="15"/>
  <c r="K37" i="15" s="1"/>
  <c r="M37" i="15" s="1"/>
  <c r="J34" i="15"/>
  <c r="J32" i="15"/>
  <c r="K32" i="15" s="1"/>
  <c r="M32" i="15" s="1"/>
  <c r="J29" i="15"/>
  <c r="J28" i="15"/>
  <c r="J27" i="15"/>
  <c r="J22" i="15"/>
  <c r="K22" i="15" s="1"/>
  <c r="M22" i="15" s="1"/>
  <c r="J18" i="15"/>
  <c r="J16" i="15"/>
  <c r="K16" i="15" s="1"/>
  <c r="M16" i="15" s="1"/>
  <c r="J15" i="15"/>
  <c r="K15" i="15" s="1"/>
  <c r="M15" i="15" s="1"/>
  <c r="J13" i="15"/>
  <c r="K13" i="15" s="1"/>
  <c r="M13" i="15" s="1"/>
  <c r="J12" i="15"/>
  <c r="J9" i="15"/>
  <c r="K9" i="15" s="1"/>
  <c r="M9" i="15" s="1"/>
  <c r="J7" i="15"/>
  <c r="K7" i="15" s="1"/>
  <c r="I44" i="15"/>
  <c r="L44" i="15"/>
  <c r="H44" i="15"/>
  <c r="G44" i="15"/>
  <c r="F44" i="15"/>
  <c r="D44" i="15"/>
  <c r="E34" i="15"/>
  <c r="M34" i="15" s="1"/>
  <c r="E33" i="15"/>
  <c r="E44" i="15" s="1"/>
  <c r="I45" i="1"/>
  <c r="I44" i="1"/>
  <c r="I43" i="1"/>
  <c r="I42" i="1"/>
  <c r="I41" i="1"/>
  <c r="I40" i="1"/>
  <c r="I39" i="1"/>
  <c r="I38" i="1"/>
  <c r="I37" i="1"/>
  <c r="I36" i="1"/>
  <c r="I35" i="1"/>
  <c r="I34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C17" i="4"/>
  <c r="K44" i="15" l="1"/>
  <c r="M7" i="15"/>
  <c r="J44" i="15"/>
  <c r="M33" i="15"/>
  <c r="M44" i="15" s="1"/>
  <c r="P45" i="1"/>
  <c r="P44" i="1"/>
  <c r="P43" i="1"/>
  <c r="P42" i="1"/>
  <c r="P39" i="1"/>
  <c r="P38" i="1"/>
  <c r="P36" i="1"/>
  <c r="P34" i="1"/>
  <c r="P33" i="1"/>
  <c r="P29" i="1"/>
  <c r="P28" i="1"/>
  <c r="P27" i="1"/>
  <c r="P26" i="1"/>
  <c r="P24" i="1"/>
  <c r="P23" i="1"/>
  <c r="P22" i="1"/>
  <c r="P20" i="1"/>
  <c r="P17" i="1"/>
  <c r="P14" i="1"/>
  <c r="P13" i="1"/>
  <c r="P11" i="1"/>
  <c r="O18" i="1" l="1"/>
  <c r="O41" i="1"/>
  <c r="P41" i="1" s="1"/>
  <c r="O40" i="1"/>
  <c r="P40" i="1" s="1"/>
  <c r="O37" i="1"/>
  <c r="P37" i="1" s="1"/>
  <c r="O35" i="1"/>
  <c r="P35" i="1" s="1"/>
  <c r="O32" i="1"/>
  <c r="P32" i="1" s="1"/>
  <c r="O31" i="1"/>
  <c r="P31" i="1" s="1"/>
  <c r="O30" i="1"/>
  <c r="P30" i="1" s="1"/>
  <c r="O25" i="1"/>
  <c r="P25" i="1" s="1"/>
  <c r="O21" i="1"/>
  <c r="P21" i="1" s="1"/>
  <c r="O19" i="1"/>
  <c r="P19" i="1" s="1"/>
  <c r="O16" i="1"/>
  <c r="P16" i="1" s="1"/>
  <c r="O15" i="1"/>
  <c r="P15" i="1" s="1"/>
  <c r="O12" i="1"/>
  <c r="P12" i="1" s="1"/>
  <c r="O10" i="1"/>
  <c r="P10" i="1" s="1"/>
  <c r="O46" i="1" l="1"/>
  <c r="P18" i="1"/>
  <c r="P46" i="1" s="1"/>
  <c r="S10" i="1"/>
  <c r="F10" i="1" l="1"/>
  <c r="D46" i="1"/>
  <c r="J10" i="1" l="1"/>
  <c r="U10" i="1" s="1"/>
  <c r="T10" i="1"/>
  <c r="K46" i="1" l="1"/>
  <c r="R46" i="1" l="1"/>
  <c r="Q46" i="1"/>
  <c r="N46" i="1"/>
  <c r="M46" i="1"/>
  <c r="L46" i="1"/>
  <c r="H46" i="1"/>
  <c r="G46" i="1"/>
  <c r="E46" i="1"/>
  <c r="S45" i="1"/>
  <c r="F45" i="1"/>
  <c r="S44" i="1"/>
  <c r="F44" i="1"/>
  <c r="T44" i="1" s="1"/>
  <c r="S43" i="1"/>
  <c r="F43" i="1"/>
  <c r="T43" i="1" s="1"/>
  <c r="S42" i="1"/>
  <c r="F42" i="1"/>
  <c r="T42" i="1" s="1"/>
  <c r="S41" i="1"/>
  <c r="F41" i="1"/>
  <c r="S40" i="1"/>
  <c r="F40" i="1"/>
  <c r="T40" i="1" s="1"/>
  <c r="S39" i="1"/>
  <c r="F39" i="1"/>
  <c r="T39" i="1" s="1"/>
  <c r="S38" i="1"/>
  <c r="F38" i="1"/>
  <c r="T38" i="1" s="1"/>
  <c r="S37" i="1"/>
  <c r="F37" i="1"/>
  <c r="T37" i="1" s="1"/>
  <c r="S36" i="1"/>
  <c r="F36" i="1"/>
  <c r="T36" i="1" s="1"/>
  <c r="S35" i="1"/>
  <c r="F35" i="1"/>
  <c r="T35" i="1" s="1"/>
  <c r="S34" i="1"/>
  <c r="F34" i="1"/>
  <c r="T34" i="1" s="1"/>
  <c r="S33" i="1"/>
  <c r="F33" i="1"/>
  <c r="T33" i="1" s="1"/>
  <c r="S32" i="1"/>
  <c r="F32" i="1"/>
  <c r="T32" i="1" s="1"/>
  <c r="S31" i="1"/>
  <c r="F31" i="1"/>
  <c r="T31" i="1" s="1"/>
  <c r="S30" i="1"/>
  <c r="F30" i="1"/>
  <c r="T30" i="1" s="1"/>
  <c r="S29" i="1"/>
  <c r="F29" i="1"/>
  <c r="S28" i="1"/>
  <c r="F28" i="1"/>
  <c r="T28" i="1" s="1"/>
  <c r="S27" i="1"/>
  <c r="F27" i="1"/>
  <c r="T27" i="1" s="1"/>
  <c r="S26" i="1"/>
  <c r="F26" i="1"/>
  <c r="T26" i="1" s="1"/>
  <c r="S25" i="1"/>
  <c r="F25" i="1"/>
  <c r="S24" i="1"/>
  <c r="F24" i="1"/>
  <c r="T24" i="1" s="1"/>
  <c r="S23" i="1"/>
  <c r="F23" i="1"/>
  <c r="T23" i="1" s="1"/>
  <c r="S22" i="1"/>
  <c r="F22" i="1"/>
  <c r="T22" i="1" s="1"/>
  <c r="S21" i="1"/>
  <c r="F21" i="1"/>
  <c r="S20" i="1"/>
  <c r="F20" i="1"/>
  <c r="T20" i="1" s="1"/>
  <c r="S19" i="1"/>
  <c r="F19" i="1"/>
  <c r="T19" i="1" s="1"/>
  <c r="S18" i="1"/>
  <c r="F18" i="1"/>
  <c r="T18" i="1" s="1"/>
  <c r="S17" i="1"/>
  <c r="F17" i="1"/>
  <c r="S16" i="1"/>
  <c r="F16" i="1"/>
  <c r="T16" i="1" s="1"/>
  <c r="S15" i="1"/>
  <c r="F15" i="1"/>
  <c r="T15" i="1" s="1"/>
  <c r="S14" i="1"/>
  <c r="F14" i="1"/>
  <c r="T14" i="1" s="1"/>
  <c r="S13" i="1"/>
  <c r="F13" i="1"/>
  <c r="T13" i="1" s="1"/>
  <c r="S12" i="1"/>
  <c r="F12" i="1"/>
  <c r="T12" i="1" s="1"/>
  <c r="S11" i="1"/>
  <c r="F11" i="1"/>
  <c r="T11" i="1" s="1"/>
  <c r="E27" i="4"/>
  <c r="J27" i="4" s="1"/>
  <c r="E26" i="4"/>
  <c r="J26" i="4" s="1"/>
  <c r="E25" i="4"/>
  <c r="E24" i="4"/>
  <c r="J24" i="4" s="1"/>
  <c r="E23" i="4"/>
  <c r="J23" i="4" s="1"/>
  <c r="H6" i="4"/>
  <c r="J25" i="4"/>
  <c r="H28" i="4"/>
  <c r="H16" i="4"/>
  <c r="H11" i="4"/>
  <c r="H10" i="4"/>
  <c r="H9" i="4"/>
  <c r="F17" i="4"/>
  <c r="E17" i="4"/>
  <c r="H8" i="4"/>
  <c r="H7" i="4"/>
  <c r="J17" i="1" l="1"/>
  <c r="U17" i="1" s="1"/>
  <c r="T17" i="1"/>
  <c r="J21" i="1"/>
  <c r="U21" i="1" s="1"/>
  <c r="T21" i="1"/>
  <c r="J25" i="1"/>
  <c r="U25" i="1" s="1"/>
  <c r="T25" i="1"/>
  <c r="J29" i="1"/>
  <c r="U29" i="1" s="1"/>
  <c r="T29" i="1"/>
  <c r="T46" i="1" s="1"/>
  <c r="J41" i="1"/>
  <c r="U41" i="1" s="1"/>
  <c r="T41" i="1"/>
  <c r="J45" i="1"/>
  <c r="U45" i="1" s="1"/>
  <c r="T45" i="1"/>
  <c r="J12" i="1"/>
  <c r="U12" i="1" s="1"/>
  <c r="J16" i="1"/>
  <c r="U16" i="1" s="1"/>
  <c r="J20" i="1"/>
  <c r="U20" i="1" s="1"/>
  <c r="J24" i="1"/>
  <c r="U24" i="1" s="1"/>
  <c r="J28" i="1"/>
  <c r="U28" i="1" s="1"/>
  <c r="J32" i="1"/>
  <c r="U32" i="1" s="1"/>
  <c r="J36" i="1"/>
  <c r="U36" i="1" s="1"/>
  <c r="J40" i="1"/>
  <c r="U40" i="1" s="1"/>
  <c r="J44" i="1"/>
  <c r="U44" i="1" s="1"/>
  <c r="J13" i="1"/>
  <c r="U13" i="1" s="1"/>
  <c r="J33" i="1"/>
  <c r="U33" i="1" s="1"/>
  <c r="J37" i="1"/>
  <c r="U37" i="1" s="1"/>
  <c r="J14" i="1"/>
  <c r="U14" i="1" s="1"/>
  <c r="J18" i="1"/>
  <c r="U18" i="1" s="1"/>
  <c r="J22" i="1"/>
  <c r="U22" i="1" s="1"/>
  <c r="J26" i="1"/>
  <c r="U26" i="1" s="1"/>
  <c r="J30" i="1"/>
  <c r="U30" i="1" s="1"/>
  <c r="J34" i="1"/>
  <c r="U34" i="1" s="1"/>
  <c r="J38" i="1"/>
  <c r="U38" i="1" s="1"/>
  <c r="J42" i="1"/>
  <c r="U42" i="1" s="1"/>
  <c r="J11" i="1"/>
  <c r="U11" i="1" s="1"/>
  <c r="J15" i="1"/>
  <c r="U15" i="1" s="1"/>
  <c r="J19" i="1"/>
  <c r="U19" i="1" s="1"/>
  <c r="J23" i="1"/>
  <c r="U23" i="1" s="1"/>
  <c r="J27" i="1"/>
  <c r="U27" i="1" s="1"/>
  <c r="J31" i="1"/>
  <c r="U31" i="1" s="1"/>
  <c r="J35" i="1"/>
  <c r="U35" i="1" s="1"/>
  <c r="J39" i="1"/>
  <c r="U39" i="1" s="1"/>
  <c r="J43" i="1"/>
  <c r="U43" i="1" s="1"/>
  <c r="S46" i="1"/>
  <c r="I46" i="1"/>
  <c r="F46" i="1"/>
  <c r="J28" i="4"/>
  <c r="D17" i="4"/>
  <c r="I28" i="4"/>
  <c r="U46" i="1" l="1"/>
  <c r="J46" i="1"/>
  <c r="G15" i="4" l="1"/>
  <c r="H15" i="4" s="1"/>
  <c r="G14" i="4"/>
  <c r="H14" i="4" s="1"/>
  <c r="G13" i="4"/>
  <c r="H13" i="4" s="1"/>
  <c r="G12" i="4"/>
  <c r="G28" i="4"/>
  <c r="F28" i="4"/>
  <c r="D28" i="4"/>
  <c r="C28" i="4"/>
  <c r="G17" i="4" l="1"/>
  <c r="H12" i="4"/>
  <c r="H17" i="4" s="1"/>
  <c r="E28" i="4"/>
  <c r="F5" i="8" l="1"/>
  <c r="F14" i="8" s="1"/>
  <c r="B1" i="8"/>
  <c r="C1" i="8"/>
  <c r="F10" i="8" l="1"/>
  <c r="F17" i="8"/>
  <c r="F19" i="8"/>
  <c r="F9" i="8"/>
  <c r="F8" i="8"/>
  <c r="F16" i="8"/>
  <c r="F13" i="8"/>
  <c r="G5" i="8"/>
  <c r="F15" i="8"/>
  <c r="F18" i="8"/>
  <c r="F11" i="8"/>
  <c r="F12" i="8"/>
  <c r="B5" i="8" l="1"/>
  <c r="C5" i="8"/>
  <c r="B13" i="8" l="1"/>
  <c r="B18" i="8"/>
  <c r="B8" i="8"/>
  <c r="B17" i="8"/>
  <c r="B10" i="8"/>
  <c r="B16" i="8"/>
  <c r="B9" i="8"/>
  <c r="B15" i="8"/>
  <c r="B14" i="8"/>
  <c r="B19" i="8"/>
  <c r="B11" i="8"/>
  <c r="B12" i="8"/>
  <c r="F6" i="8" l="1"/>
  <c r="B6" i="8"/>
</calcChain>
</file>

<file path=xl/sharedStrings.xml><?xml version="1.0" encoding="utf-8"?>
<sst xmlns="http://schemas.openxmlformats.org/spreadsheetml/2006/main" count="234" uniqueCount="128">
  <si>
    <t>S/n</t>
  </si>
  <si>
    <t>No. of LGCs</t>
  </si>
  <si>
    <t>Gross Total</t>
  </si>
  <si>
    <t>External Debt</t>
  </si>
  <si>
    <t>Stabilization</t>
  </si>
  <si>
    <t>Development of Natural Resources</t>
  </si>
  <si>
    <t>FCT-Abuja</t>
  </si>
  <si>
    <t>Gross Statutory Allocation</t>
  </si>
  <si>
    <t>6=4+5</t>
  </si>
  <si>
    <t>10=6-(7+8+9)</t>
  </si>
  <si>
    <t>Value Added Tax</t>
  </si>
  <si>
    <t>Contractual Obligation (ISPO)</t>
  </si>
  <si>
    <t>Net Statutory Allocation</t>
  </si>
  <si>
    <t>Total Net Amount</t>
  </si>
  <si>
    <t>Statutory</t>
  </si>
  <si>
    <t>Total</t>
  </si>
  <si>
    <t>13% Derivation Fund</t>
  </si>
  <si>
    <t>FGN (CRF Account)</t>
  </si>
  <si>
    <t>Share of Derivation &amp; Ecology</t>
  </si>
  <si>
    <t>Beneficiaries</t>
  </si>
  <si>
    <t>FGN (see Table II)</t>
  </si>
  <si>
    <t>Table III</t>
  </si>
  <si>
    <t>Deductions</t>
  </si>
  <si>
    <t>VAT</t>
  </si>
  <si>
    <t>Total Gross Amount</t>
  </si>
  <si>
    <t>State (see Table III)</t>
  </si>
  <si>
    <t>LGCs (see Table IV)</t>
  </si>
  <si>
    <t>……………………………………………………………</t>
  </si>
  <si>
    <t>Federal Ministry of Finance, Abuja</t>
  </si>
  <si>
    <t>Abuja. Nigeria.</t>
  </si>
  <si>
    <t>13% Share of Derivation (Net)</t>
  </si>
  <si>
    <t>Exchange Gain Difference</t>
  </si>
  <si>
    <t>Cost of Collection - NCS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</si>
  <si>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</si>
  <si>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</si>
  <si>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</si>
  <si>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</si>
  <si>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</si>
  <si>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</si>
  <si>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</si>
  <si>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</si>
  <si>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</si>
  <si>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</si>
  <si>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</si>
  <si>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</si>
  <si>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</si>
  <si>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</si>
  <si>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</si>
  <si>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</si>
  <si>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</si>
  <si>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</si>
  <si>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</si>
  <si>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</si>
  <si>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</si>
  <si>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</si>
  <si>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</si>
  <si>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</si>
  <si>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</si>
  <si>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</si>
  <si>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</si>
  <si>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</si>
  <si>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</si>
  <si>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</si>
  <si>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</si>
  <si>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</si>
  <si>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</si>
  <si>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</si>
  <si>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</si>
  <si>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</si>
  <si>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Gross VAT Allocation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</si>
  <si>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</si>
  <si>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</si>
  <si>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</si>
  <si>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</si>
  <si>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</si>
  <si>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</si>
  <si>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</si>
  <si>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</si>
  <si>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</si>
  <si>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</si>
  <si>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</si>
  <si>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</si>
  <si>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</si>
  <si>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</si>
  <si>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</si>
  <si>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</si>
  <si>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</si>
  <si>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</si>
  <si>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Office of the Accountant General of the Federation</t>
  </si>
  <si>
    <t>₦</t>
  </si>
  <si>
    <t xml:space="preserve"> Cost of Collections - FIRS</t>
  </si>
  <si>
    <t xml:space="preserve"> Cost of Collections - DPR</t>
  </si>
  <si>
    <t>FIRS Refund on Cost of Collection</t>
  </si>
  <si>
    <t>Police Trust Fund</t>
  </si>
  <si>
    <t>13% Derivation Refund to Oil Producing States</t>
  </si>
  <si>
    <t>North East Development Commission</t>
  </si>
  <si>
    <t>TOTAL</t>
  </si>
  <si>
    <t>4=2-3</t>
  </si>
  <si>
    <t>Less Deduction</t>
  </si>
  <si>
    <r>
      <t xml:space="preserve">Source: </t>
    </r>
    <r>
      <rPr>
        <b/>
        <sz val="16"/>
        <rFont val="Times New Roman"/>
        <family val="1"/>
      </rPr>
      <t>Office of the Accountant-General of the Federation</t>
    </r>
  </si>
  <si>
    <r>
      <t xml:space="preserve">The above information is also available on the Federal Ministry of Finance website </t>
    </r>
    <r>
      <rPr>
        <b/>
        <u/>
        <sz val="16"/>
        <rFont val="Times New Roman"/>
        <family val="1"/>
      </rPr>
      <t>www.fmf.gov.ng</t>
    </r>
    <r>
      <rPr>
        <b/>
        <sz val="16"/>
        <rFont val="Times New Roman"/>
        <family val="1"/>
      </rPr>
      <t xml:space="preserve"> and Office of Accountant-General of the Federation website </t>
    </r>
    <r>
      <rPr>
        <b/>
        <u/>
        <sz val="16"/>
        <rFont val="Times New Roman"/>
        <family val="1"/>
      </rPr>
      <t>www.oagf.gov.ng</t>
    </r>
    <r>
      <rPr>
        <b/>
        <sz val="16"/>
        <rFont val="Times New Roman"/>
        <family val="1"/>
      </rPr>
      <t xml:space="preserve">.  In addition, you would find on these websites details of the Capital and Recurrent allocations to all arms of Government including Federal Ministries and Agencies.  The Budget Office website </t>
    </r>
    <r>
      <rPr>
        <b/>
        <u/>
        <sz val="16"/>
        <rFont val="Times New Roman"/>
        <family val="1"/>
      </rPr>
      <t>www.budgetoffice.gov.ng</t>
    </r>
    <r>
      <rPr>
        <b/>
        <sz val="16"/>
        <rFont val="Times New Roman"/>
        <family val="1"/>
      </rPr>
      <t xml:space="preserve"> also contains information about the Budget.</t>
    </r>
  </si>
  <si>
    <t>Summary of Gross Revenue Allocation by Federation Account Allocation Committee for the Month of October, 2021 Shared in November, 2021</t>
  </si>
  <si>
    <t>Distribution of ₦50 Billion from Non-Oil Excess Account</t>
  </si>
  <si>
    <t>Distribution of ₦100 Billion from Non-Oil Excess Account</t>
  </si>
  <si>
    <t>Distribution of Revenue Allocation to FGN by Federation Account Allocation Committee for the Month of October, 2021 Shared in November, 2021</t>
  </si>
  <si>
    <t xml:space="preserve"> Statutory Allocation</t>
  </si>
  <si>
    <t>Deduction</t>
  </si>
  <si>
    <t>Net VAT</t>
  </si>
  <si>
    <t>Total (States)</t>
  </si>
  <si>
    <t>Distribution of Revenue Allocation to State Governments by Federation Account Allocation Committee for the month of October,2021 Shared in November,2021</t>
  </si>
  <si>
    <t>Office of the Accountant-General of the Federation</t>
  </si>
  <si>
    <t>Exchange Gain</t>
  </si>
  <si>
    <t>FCT, ABUJA</t>
  </si>
  <si>
    <t>Total LGCs</t>
  </si>
  <si>
    <t>Summary of Distribution of Revenue Allocation to Local Government Councils by Federation Account Allocation Committee for the month of October, 2021 Shared in November, 2021</t>
  </si>
  <si>
    <t>9=4+5+6+7+8</t>
  </si>
  <si>
    <t>Total Ecology Fund</t>
  </si>
  <si>
    <t>Transfer of 50% to NDDC/HYPPADEC</t>
  </si>
  <si>
    <t>Net Ecology Fund</t>
  </si>
  <si>
    <t>Federation Account Department</t>
  </si>
  <si>
    <t>Transfer of 50% Share of Ecology to NDDC/HYPPADEC</t>
  </si>
  <si>
    <t>Net Share of Ecology</t>
  </si>
  <si>
    <t>Hon. Minister of  Finance, Budget and National Planning</t>
  </si>
  <si>
    <t>20=6+11+12+13+14+17</t>
  </si>
  <si>
    <t>21=10+11+12+13+16+19</t>
  </si>
  <si>
    <t>Total Ecology</t>
  </si>
  <si>
    <t>12(3+4+5+6+7+10+11)</t>
  </si>
  <si>
    <t>Mrs. (Dr.)Zainab S. Ahmed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</si>
</sst>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b/>
      <u/>
      <sz val="16"/>
      <name val="Times New Roman"/>
      <family val="1"/>
    </font>
    <font>
      <b/>
      <sz val="22"/>
      <name val="Times New Roman"/>
      <family val="1"/>
    </font>
    <font>
      <b/>
      <sz val="20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u/>
      <sz val="14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i/>
      <sz val="22"/>
      <name val="Times New Roman"/>
      <family val="1"/>
    </font>
    <font>
      <b/>
      <i/>
      <sz val="20"/>
      <name val="Times New Roman"/>
      <family val="1"/>
    </font>
    <font>
      <b/>
      <i/>
      <sz val="16"/>
      <name val="Times New Roman"/>
      <family val="1"/>
    </font>
    <font>
      <b/>
      <i/>
      <sz val="14"/>
      <name val="Times New Roman"/>
      <family val="1"/>
    </font>
    <font>
      <b/>
      <i/>
      <sz val="12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2" fillId="0" borderId="0"/>
  </cellStyleXfs>
  <cellXfs count="109">
    <xf numFmtId="0" fontId="0" fillId="0" borderId="0" xfId="0"/>
    <xf numFmtId="0" fontId="2" fillId="0" borderId="1" xfId="0" applyFont="1" applyBorder="1" applyAlignment="1">
      <alignment horizontal="center" wrapText="1"/>
    </xf>
    <xf numFmtId="164" fontId="0" fillId="0" borderId="0" xfId="0" applyNumberFormat="1"/>
    <xf numFmtId="43" fontId="0" fillId="0" borderId="0" xfId="0" applyNumberFormat="1"/>
    <xf numFmtId="164" fontId="0" fillId="0" borderId="0" xfId="1" applyFont="1"/>
    <xf numFmtId="0" fontId="0" fillId="2" borderId="0" xfId="0" applyFill="1" applyProtection="1">
      <protection locked="0"/>
    </xf>
    <xf numFmtId="17" fontId="0" fillId="0" borderId="0" xfId="0" applyNumberFormat="1"/>
    <xf numFmtId="17" fontId="4" fillId="2" borderId="0" xfId="0" applyNumberFormat="1" applyFont="1" applyFill="1" applyAlignment="1"/>
    <xf numFmtId="2" fontId="0" fillId="0" borderId="0" xfId="0" applyNumberFormat="1"/>
    <xf numFmtId="0" fontId="6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6" fillId="0" borderId="1" xfId="0" applyFont="1" applyBorder="1"/>
    <xf numFmtId="164" fontId="5" fillId="0" borderId="1" xfId="1" applyFont="1" applyBorder="1" applyAlignment="1"/>
    <xf numFmtId="43" fontId="5" fillId="0" borderId="1" xfId="1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164" fontId="5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4" fontId="5" fillId="0" borderId="0" xfId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7" fillId="0" borderId="5" xfId="0" quotePrefix="1" applyFont="1" applyBorder="1" applyAlignment="1">
      <alignment horizontal="center"/>
    </xf>
    <xf numFmtId="164" fontId="6" fillId="0" borderId="6" xfId="1" applyFont="1" applyBorder="1"/>
    <xf numFmtId="164" fontId="6" fillId="0" borderId="1" xfId="1" applyFont="1" applyBorder="1"/>
    <xf numFmtId="164" fontId="5" fillId="0" borderId="7" xfId="1" applyFont="1" applyBorder="1"/>
    <xf numFmtId="164" fontId="6" fillId="0" borderId="0" xfId="0" applyNumberFormat="1" applyFont="1"/>
    <xf numFmtId="0" fontId="6" fillId="3" borderId="0" xfId="0" applyFont="1" applyFill="1"/>
    <xf numFmtId="0" fontId="7" fillId="0" borderId="6" xfId="0" quotePrefix="1" applyFont="1" applyBorder="1" applyAlignment="1">
      <alignment horizontal="center"/>
    </xf>
    <xf numFmtId="164" fontId="5" fillId="0" borderId="5" xfId="1" applyFont="1" applyBorder="1" applyAlignment="1"/>
    <xf numFmtId="164" fontId="5" fillId="3" borderId="5" xfId="1" applyFont="1" applyFill="1" applyBorder="1" applyAlignme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164" fontId="6" fillId="0" borderId="0" xfId="1" applyFont="1"/>
    <xf numFmtId="43" fontId="7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6" fillId="0" borderId="9" xfId="0" applyFont="1" applyBorder="1"/>
    <xf numFmtId="0" fontId="5" fillId="0" borderId="9" xfId="0" applyFont="1" applyBorder="1" applyAlignment="1">
      <alignment horizontal="center" wrapText="1"/>
    </xf>
    <xf numFmtId="164" fontId="5" fillId="0" borderId="9" xfId="1" applyFont="1" applyBorder="1" applyAlignment="1">
      <alignment horizontal="center"/>
    </xf>
    <xf numFmtId="43" fontId="6" fillId="0" borderId="0" xfId="0" applyNumberFormat="1" applyFont="1"/>
    <xf numFmtId="0" fontId="11" fillId="0" borderId="0" xfId="0" applyFont="1"/>
    <xf numFmtId="0" fontId="10" fillId="0" borderId="0" xfId="0" applyFont="1" applyAlignment="1">
      <alignment horizontal="center"/>
    </xf>
    <xf numFmtId="0" fontId="12" fillId="0" borderId="0" xfId="0" applyFont="1"/>
    <xf numFmtId="0" fontId="14" fillId="0" borderId="1" xfId="0" applyFont="1" applyBorder="1" applyAlignment="1">
      <alignment horizontal="center"/>
    </xf>
    <xf numFmtId="0" fontId="11" fillId="0" borderId="1" xfId="0" applyFont="1" applyBorder="1"/>
    <xf numFmtId="0" fontId="15" fillId="0" borderId="1" xfId="0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/>
    </xf>
    <xf numFmtId="39" fontId="11" fillId="0" borderId="1" xfId="0" applyNumberFormat="1" applyFont="1" applyBorder="1"/>
    <xf numFmtId="37" fontId="11" fillId="0" borderId="1" xfId="0" applyNumberFormat="1" applyFont="1" applyBorder="1" applyAlignment="1">
      <alignment horizontal="center"/>
    </xf>
    <xf numFmtId="164" fontId="11" fillId="0" borderId="1" xfId="1" applyFont="1" applyBorder="1"/>
    <xf numFmtId="164" fontId="11" fillId="0" borderId="1" xfId="0" applyNumberFormat="1" applyFont="1" applyBorder="1"/>
    <xf numFmtId="40" fontId="11" fillId="0" borderId="1" xfId="0" applyNumberFormat="1" applyFont="1" applyBorder="1"/>
    <xf numFmtId="164" fontId="14" fillId="0" borderId="1" xfId="0" applyNumberFormat="1" applyFont="1" applyBorder="1"/>
    <xf numFmtId="164" fontId="14" fillId="0" borderId="2" xfId="0" applyNumberFormat="1" applyFont="1" applyBorder="1"/>
    <xf numFmtId="164" fontId="11" fillId="0" borderId="2" xfId="1" applyFont="1" applyBorder="1"/>
    <xf numFmtId="0" fontId="11" fillId="0" borderId="1" xfId="0" applyFont="1" applyBorder="1" applyAlignment="1">
      <alignment horizontal="center"/>
    </xf>
    <xf numFmtId="164" fontId="11" fillId="0" borderId="1" xfId="1" applyFont="1" applyBorder="1" applyAlignment="1">
      <alignment horizontal="left"/>
    </xf>
    <xf numFmtId="164" fontId="14" fillId="0" borderId="4" xfId="1" applyFont="1" applyBorder="1"/>
    <xf numFmtId="164" fontId="11" fillId="0" borderId="0" xfId="0" applyNumberFormat="1" applyFont="1"/>
    <xf numFmtId="43" fontId="11" fillId="0" borderId="0" xfId="0" applyNumberFormat="1" applyFont="1"/>
    <xf numFmtId="0" fontId="11" fillId="0" borderId="0" xfId="0" applyFont="1" applyAlignment="1">
      <alignment horizontal="right"/>
    </xf>
    <xf numFmtId="164" fontId="11" fillId="0" borderId="0" xfId="1" applyFont="1"/>
    <xf numFmtId="0" fontId="14" fillId="0" borderId="0" xfId="0" applyFont="1"/>
    <xf numFmtId="165" fontId="20" fillId="0" borderId="1" xfId="1" applyNumberFormat="1" applyFont="1" applyBorder="1" applyAlignment="1">
      <alignment horizontal="left"/>
    </xf>
    <xf numFmtId="164" fontId="20" fillId="0" borderId="1" xfId="1" applyFont="1" applyBorder="1" applyAlignment="1">
      <alignment horizontal="center"/>
    </xf>
    <xf numFmtId="164" fontId="21" fillId="0" borderId="1" xfId="1" applyFont="1" applyBorder="1"/>
    <xf numFmtId="164" fontId="21" fillId="0" borderId="1" xfId="1" applyFont="1" applyBorder="1" applyAlignment="1">
      <alignment wrapText="1"/>
    </xf>
    <xf numFmtId="164" fontId="21" fillId="0" borderId="1" xfId="1" applyFont="1" applyBorder="1" applyAlignment="1">
      <alignment horizontal="center" wrapText="1"/>
    </xf>
    <xf numFmtId="164" fontId="21" fillId="0" borderId="1" xfId="1" applyFont="1" applyBorder="1" applyAlignment="1">
      <alignment horizontal="center"/>
    </xf>
    <xf numFmtId="0" fontId="16" fillId="0" borderId="5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3" fillId="4" borderId="11" xfId="2" applyFont="1" applyFill="1" applyBorder="1" applyAlignment="1">
      <alignment horizontal="center" wrapText="1"/>
    </xf>
    <xf numFmtId="164" fontId="16" fillId="0" borderId="1" xfId="1" applyFont="1" applyBorder="1"/>
    <xf numFmtId="164" fontId="12" fillId="0" borderId="1" xfId="1" applyFont="1" applyBorder="1"/>
    <xf numFmtId="0" fontId="16" fillId="0" borderId="5" xfId="0" quotePrefix="1" applyFont="1" applyBorder="1" applyAlignment="1">
      <alignment horizontal="center"/>
    </xf>
    <xf numFmtId="165" fontId="12" fillId="0" borderId="1" xfId="1" applyNumberFormat="1" applyFont="1" applyBorder="1" applyAlignment="1">
      <alignment horizontal="left"/>
    </xf>
    <xf numFmtId="165" fontId="12" fillId="0" borderId="1" xfId="1" applyNumberFormat="1" applyFont="1" applyBorder="1"/>
    <xf numFmtId="164" fontId="20" fillId="0" borderId="1" xfId="1" applyFont="1" applyBorder="1"/>
    <xf numFmtId="164" fontId="15" fillId="0" borderId="1" xfId="1" applyFont="1" applyBorder="1"/>
    <xf numFmtId="164" fontId="20" fillId="0" borderId="1" xfId="1" applyFont="1" applyBorder="1" applyAlignment="1">
      <alignment horizontal="left" wrapText="1"/>
    </xf>
    <xf numFmtId="165" fontId="20" fillId="0" borderId="1" xfId="1" quotePrefix="1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9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5" fillId="0" borderId="3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5" fillId="0" borderId="5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7" fillId="0" borderId="9" xfId="0" applyFont="1" applyBorder="1" applyAlignment="1">
      <alignment horizontal="center"/>
    </xf>
    <xf numFmtId="164" fontId="18" fillId="0" borderId="5" xfId="1" applyFont="1" applyBorder="1" applyAlignment="1">
      <alignment horizontal="center"/>
    </xf>
    <xf numFmtId="164" fontId="18" fillId="0" borderId="10" xfId="1" applyFont="1" applyBorder="1" applyAlignment="1">
      <alignment horizontal="center"/>
    </xf>
    <xf numFmtId="164" fontId="18" fillId="0" borderId="2" xfId="1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_TOTALDATA_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3.2" x14ac:dyDescent="0.25"/>
  <cols>
    <col min="2" max="2" width="23" bestFit="1" customWidth="1"/>
    <col min="6" max="6" width="24.5546875" customWidth="1"/>
  </cols>
  <sheetData>
    <row r="1" spans="1:8" ht="23.1" customHeight="1" x14ac:dyDescent="0.25">
      <c r="B1">
        <f ca="1">MONTH(NOW())</f>
        <v>2</v>
      </c>
      <c r="C1">
        <f ca="1">YEAR(NOW())</f>
        <v>2022</v>
      </c>
    </row>
    <row r="2" spans="1:8" ht="23.1" customHeight="1" x14ac:dyDescent="0.25"/>
    <row r="3" spans="1:8" ht="23.1" customHeight="1" x14ac:dyDescent="0.25">
      <c r="B3" t="s">
        <v>73</v>
      </c>
      <c r="F3" t="s">
        <v>74</v>
      </c>
    </row>
    <row r="4" spans="1:8" ht="23.1" customHeight="1" x14ac:dyDescent="0.25">
      <c r="B4" t="s">
        <v>70</v>
      </c>
      <c r="C4" t="s">
        <v>71</v>
      </c>
      <c r="D4" t="s">
        <v>72</v>
      </c>
      <c r="F4" t="s">
        <v>70</v>
      </c>
      <c r="G4" t="s">
        <v>71</v>
      </c>
      <c r="H4" t="s">
        <v>72</v>
      </c>
    </row>
    <row r="5" spans="1:8" ht="23.1" customHeight="1" x14ac:dyDescent="0.25">
      <c r="B5" s="5" t="e">
        <f>IF(G5=1,F5-1,F5)</f>
        <v>#REF!</v>
      </c>
      <c r="C5" s="5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 x14ac:dyDescent="0.4">
      <c r="B6" s="7" t="e">
        <f>LOOKUP(C5,A8:B19)</f>
        <v>#REF!</v>
      </c>
      <c r="F6" s="7" t="e">
        <f>IF(G5=1,LOOKUP(G5,E8:F19),LOOKUP(G5,A8:B19))</f>
        <v>#REF!</v>
      </c>
    </row>
    <row r="8" spans="1:8" x14ac:dyDescent="0.25">
      <c r="A8">
        <v>1</v>
      </c>
      <c r="B8" s="8" t="e">
        <f>D8&amp;"-"&amp;RIGHT(B$5,2)</f>
        <v>#REF!</v>
      </c>
      <c r="D8" s="6" t="s">
        <v>83</v>
      </c>
      <c r="E8">
        <v>1</v>
      </c>
      <c r="F8" s="8" t="e">
        <f>D8&amp;"-"&amp;RIGHT(F$5,2)</f>
        <v>#REF!</v>
      </c>
    </row>
    <row r="9" spans="1:8" x14ac:dyDescent="0.25">
      <c r="A9">
        <v>2</v>
      </c>
      <c r="B9" s="8" t="e">
        <f t="shared" ref="B9:B19" si="0">D9&amp;"-"&amp;RIGHT(B$5,2)</f>
        <v>#REF!</v>
      </c>
      <c r="D9" s="6" t="s">
        <v>84</v>
      </c>
      <c r="E9">
        <v>2</v>
      </c>
      <c r="F9" s="8" t="e">
        <f t="shared" ref="F9:F19" si="1">D9&amp;"-"&amp;RIGHT(F$5,2)</f>
        <v>#REF!</v>
      </c>
    </row>
    <row r="10" spans="1:8" x14ac:dyDescent="0.25">
      <c r="A10">
        <v>3</v>
      </c>
      <c r="B10" s="8" t="e">
        <f t="shared" si="0"/>
        <v>#REF!</v>
      </c>
      <c r="D10" s="6" t="s">
        <v>85</v>
      </c>
      <c r="E10">
        <v>3</v>
      </c>
      <c r="F10" s="8" t="e">
        <f t="shared" si="1"/>
        <v>#REF!</v>
      </c>
    </row>
    <row r="11" spans="1:8" x14ac:dyDescent="0.25">
      <c r="A11">
        <v>4</v>
      </c>
      <c r="B11" s="8" t="e">
        <f t="shared" si="0"/>
        <v>#REF!</v>
      </c>
      <c r="D11" s="6" t="s">
        <v>86</v>
      </c>
      <c r="E11">
        <v>4</v>
      </c>
      <c r="F11" s="8" t="e">
        <f t="shared" si="1"/>
        <v>#REF!</v>
      </c>
    </row>
    <row r="12" spans="1:8" x14ac:dyDescent="0.25">
      <c r="A12">
        <v>5</v>
      </c>
      <c r="B12" s="8" t="e">
        <f t="shared" si="0"/>
        <v>#REF!</v>
      </c>
      <c r="D12" s="6" t="s">
        <v>75</v>
      </c>
      <c r="E12">
        <v>5</v>
      </c>
      <c r="F12" s="8" t="e">
        <f t="shared" si="1"/>
        <v>#REF!</v>
      </c>
    </row>
    <row r="13" spans="1:8" x14ac:dyDescent="0.25">
      <c r="A13">
        <v>6</v>
      </c>
      <c r="B13" s="8" t="e">
        <f t="shared" si="0"/>
        <v>#REF!</v>
      </c>
      <c r="D13" s="6" t="s">
        <v>76</v>
      </c>
      <c r="E13">
        <v>6</v>
      </c>
      <c r="F13" s="8" t="e">
        <f t="shared" si="1"/>
        <v>#REF!</v>
      </c>
    </row>
    <row r="14" spans="1:8" x14ac:dyDescent="0.25">
      <c r="A14">
        <v>7</v>
      </c>
      <c r="B14" s="8" t="e">
        <f t="shared" si="0"/>
        <v>#REF!</v>
      </c>
      <c r="D14" s="6" t="s">
        <v>77</v>
      </c>
      <c r="E14">
        <v>7</v>
      </c>
      <c r="F14" s="8" t="e">
        <f t="shared" si="1"/>
        <v>#REF!</v>
      </c>
    </row>
    <row r="15" spans="1:8" x14ac:dyDescent="0.25">
      <c r="A15">
        <v>8</v>
      </c>
      <c r="B15" s="8" t="e">
        <f t="shared" si="0"/>
        <v>#REF!</v>
      </c>
      <c r="D15" s="6" t="s">
        <v>78</v>
      </c>
      <c r="E15">
        <v>8</v>
      </c>
      <c r="F15" s="8" t="e">
        <f t="shared" si="1"/>
        <v>#REF!</v>
      </c>
    </row>
    <row r="16" spans="1:8" x14ac:dyDescent="0.25">
      <c r="A16">
        <v>9</v>
      </c>
      <c r="B16" s="8" t="e">
        <f t="shared" si="0"/>
        <v>#REF!</v>
      </c>
      <c r="D16" s="6" t="s">
        <v>79</v>
      </c>
      <c r="E16">
        <v>9</v>
      </c>
      <c r="F16" s="8" t="e">
        <f t="shared" si="1"/>
        <v>#REF!</v>
      </c>
    </row>
    <row r="17" spans="1:6" x14ac:dyDescent="0.25">
      <c r="A17">
        <v>10</v>
      </c>
      <c r="B17" s="8" t="e">
        <f t="shared" si="0"/>
        <v>#REF!</v>
      </c>
      <c r="D17" s="6" t="s">
        <v>80</v>
      </c>
      <c r="E17">
        <v>10</v>
      </c>
      <c r="F17" s="8" t="e">
        <f t="shared" si="1"/>
        <v>#REF!</v>
      </c>
    </row>
    <row r="18" spans="1:6" x14ac:dyDescent="0.25">
      <c r="A18">
        <v>11</v>
      </c>
      <c r="B18" s="8" t="e">
        <f t="shared" si="0"/>
        <v>#REF!</v>
      </c>
      <c r="D18" s="6" t="s">
        <v>81</v>
      </c>
      <c r="E18">
        <v>11</v>
      </c>
      <c r="F18" s="8" t="e">
        <f t="shared" si="1"/>
        <v>#REF!</v>
      </c>
    </row>
    <row r="19" spans="1:6" x14ac:dyDescent="0.25">
      <c r="A19">
        <v>12</v>
      </c>
      <c r="B19" s="8" t="e">
        <f t="shared" si="0"/>
        <v>#REF!</v>
      </c>
      <c r="D19" s="6" t="s">
        <v>82</v>
      </c>
      <c r="E19">
        <v>12</v>
      </c>
      <c r="F19" s="8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K38"/>
  <sheetViews>
    <sheetView topLeftCell="A25" zoomScale="70" workbookViewId="0">
      <selection activeCell="B36" sqref="B36"/>
    </sheetView>
  </sheetViews>
  <sheetFormatPr defaultColWidth="9.109375" defaultRowHeight="21" x14ac:dyDescent="0.4"/>
  <cols>
    <col min="1" max="1" width="6.33203125" style="9" customWidth="1"/>
    <col min="2" max="2" width="40.88671875" style="9" customWidth="1"/>
    <col min="3" max="3" width="35.109375" style="9" customWidth="1"/>
    <col min="4" max="4" width="33.44140625" style="9" customWidth="1"/>
    <col min="5" max="5" width="39" style="9" customWidth="1"/>
    <col min="6" max="6" width="38.44140625" style="9" customWidth="1"/>
    <col min="7" max="7" width="42.88671875" style="9" customWidth="1"/>
    <col min="8" max="8" width="34.33203125" style="9" customWidth="1"/>
    <col min="9" max="9" width="30.109375" style="9" customWidth="1"/>
    <col min="10" max="10" width="40" style="9" customWidth="1"/>
    <col min="11" max="11" width="28.6640625" style="9" bestFit="1" customWidth="1"/>
    <col min="12" max="16384" width="9.109375" style="9"/>
  </cols>
  <sheetData>
    <row r="1" spans="1:11" ht="30" customHeight="1" x14ac:dyDescent="0.4">
      <c r="A1" s="85" t="s">
        <v>88</v>
      </c>
      <c r="B1" s="86"/>
      <c r="C1" s="86"/>
      <c r="D1" s="86"/>
      <c r="E1" s="86"/>
      <c r="F1" s="86"/>
      <c r="G1" s="86"/>
      <c r="H1" s="87"/>
    </row>
    <row r="2" spans="1:11" ht="30" customHeight="1" x14ac:dyDescent="0.4">
      <c r="A2" s="85" t="s">
        <v>119</v>
      </c>
      <c r="B2" s="86"/>
      <c r="C2" s="86"/>
      <c r="D2" s="86"/>
      <c r="E2" s="86"/>
      <c r="F2" s="86"/>
      <c r="G2" s="86"/>
      <c r="H2" s="87"/>
      <c r="J2" s="10"/>
    </row>
    <row r="3" spans="1:11" ht="30" customHeight="1" x14ac:dyDescent="0.4">
      <c r="A3" s="85" t="s">
        <v>101</v>
      </c>
      <c r="B3" s="86"/>
      <c r="C3" s="86"/>
      <c r="D3" s="86"/>
      <c r="E3" s="86"/>
      <c r="F3" s="86"/>
      <c r="G3" s="86"/>
      <c r="H3" s="87"/>
      <c r="J3" s="10"/>
    </row>
    <row r="4" spans="1:11" ht="83.25" customHeight="1" x14ac:dyDescent="0.4">
      <c r="A4" s="32" t="s">
        <v>0</v>
      </c>
      <c r="B4" s="31" t="s">
        <v>19</v>
      </c>
      <c r="C4" s="31" t="s">
        <v>14</v>
      </c>
      <c r="D4" s="34" t="s">
        <v>103</v>
      </c>
      <c r="E4" s="34" t="s">
        <v>102</v>
      </c>
      <c r="F4" s="33" t="s">
        <v>31</v>
      </c>
      <c r="G4" s="31" t="s">
        <v>23</v>
      </c>
      <c r="H4" s="31" t="s">
        <v>15</v>
      </c>
      <c r="K4" s="35"/>
    </row>
    <row r="5" spans="1:11" ht="30" customHeight="1" x14ac:dyDescent="0.4">
      <c r="A5" s="11"/>
      <c r="B5" s="11"/>
      <c r="C5" s="12" t="s">
        <v>89</v>
      </c>
      <c r="D5" s="12" t="s">
        <v>89</v>
      </c>
      <c r="E5" s="12" t="s">
        <v>89</v>
      </c>
      <c r="F5" s="12" t="s">
        <v>89</v>
      </c>
      <c r="G5" s="28" t="s">
        <v>89</v>
      </c>
      <c r="H5" s="28" t="s">
        <v>89</v>
      </c>
      <c r="K5" s="35"/>
    </row>
    <row r="6" spans="1:11" ht="30" customHeight="1" x14ac:dyDescent="0.4">
      <c r="A6" s="13">
        <v>1</v>
      </c>
      <c r="B6" s="13" t="s">
        <v>20</v>
      </c>
      <c r="C6" s="14">
        <v>180550700584.51001</v>
      </c>
      <c r="D6" s="29">
        <v>52680000000</v>
      </c>
      <c r="E6" s="29">
        <v>26340000000</v>
      </c>
      <c r="F6" s="14">
        <v>1494865482.5531001</v>
      </c>
      <c r="G6" s="15">
        <v>23226622390.77</v>
      </c>
      <c r="H6" s="36">
        <f>C6+D6+E6+F6+G6</f>
        <v>284292188457.83313</v>
      </c>
      <c r="J6" s="35"/>
      <c r="K6" s="35"/>
    </row>
    <row r="7" spans="1:11" ht="30" customHeight="1" x14ac:dyDescent="0.4">
      <c r="A7" s="13">
        <v>2</v>
      </c>
      <c r="B7" s="13" t="s">
        <v>25</v>
      </c>
      <c r="C7" s="14">
        <v>91577728162.830002</v>
      </c>
      <c r="D7" s="29">
        <v>26720000000</v>
      </c>
      <c r="E7" s="29">
        <v>13360000000</v>
      </c>
      <c r="F7" s="14">
        <v>758215749.69289994</v>
      </c>
      <c r="G7" s="15">
        <v>77422074635.889999</v>
      </c>
      <c r="H7" s="36">
        <f t="shared" ref="H7:H16" si="0">C7+D7+E7+F7+G7</f>
        <v>209838018548.4129</v>
      </c>
      <c r="I7" s="41"/>
      <c r="J7" s="41"/>
      <c r="K7" s="35"/>
    </row>
    <row r="8" spans="1:11" ht="30" customHeight="1" x14ac:dyDescent="0.4">
      <c r="A8" s="13">
        <v>3</v>
      </c>
      <c r="B8" s="13" t="s">
        <v>26</v>
      </c>
      <c r="C8" s="14">
        <v>70602589826.139999</v>
      </c>
      <c r="D8" s="30">
        <v>20600000000</v>
      </c>
      <c r="E8" s="30">
        <v>10300000000</v>
      </c>
      <c r="F8" s="14">
        <v>584552561.51470006</v>
      </c>
      <c r="G8" s="15">
        <v>54195452245.123001</v>
      </c>
      <c r="H8" s="36">
        <f t="shared" si="0"/>
        <v>156282594632.77771</v>
      </c>
      <c r="J8" s="35"/>
      <c r="K8" s="35"/>
    </row>
    <row r="9" spans="1:11" ht="30" customHeight="1" x14ac:dyDescent="0.4">
      <c r="A9" s="13">
        <v>4</v>
      </c>
      <c r="B9" s="13" t="s">
        <v>16</v>
      </c>
      <c r="C9" s="14">
        <v>21117713542.369999</v>
      </c>
      <c r="D9" s="14">
        <v>0</v>
      </c>
      <c r="E9" s="14">
        <v>0</v>
      </c>
      <c r="F9" s="14">
        <v>379918702.12919998</v>
      </c>
      <c r="G9" s="15">
        <v>0</v>
      </c>
      <c r="H9" s="36">
        <f t="shared" si="0"/>
        <v>21497632244.499199</v>
      </c>
    </row>
    <row r="10" spans="1:11" ht="30" customHeight="1" x14ac:dyDescent="0.4">
      <c r="A10" s="13">
        <v>5</v>
      </c>
      <c r="B10" s="13" t="s">
        <v>32</v>
      </c>
      <c r="C10" s="14">
        <v>9370831971.1599998</v>
      </c>
      <c r="D10" s="14">
        <v>0</v>
      </c>
      <c r="E10" s="14">
        <v>0</v>
      </c>
      <c r="F10" s="14">
        <v>0</v>
      </c>
      <c r="G10" s="15">
        <v>774051217.36000001</v>
      </c>
      <c r="H10" s="36">
        <f t="shared" si="0"/>
        <v>10144883188.52</v>
      </c>
      <c r="J10" s="35"/>
    </row>
    <row r="11" spans="1:11" ht="30" customHeight="1" x14ac:dyDescent="0.4">
      <c r="A11" s="13">
        <v>6</v>
      </c>
      <c r="B11" s="16" t="s">
        <v>90</v>
      </c>
      <c r="C11" s="14">
        <v>4299715333.9300003</v>
      </c>
      <c r="D11" s="14">
        <v>0</v>
      </c>
      <c r="E11" s="14">
        <v>0</v>
      </c>
      <c r="F11" s="14">
        <v>0</v>
      </c>
      <c r="G11" s="15">
        <v>5877329765.1000004</v>
      </c>
      <c r="H11" s="36">
        <f t="shared" si="0"/>
        <v>10177045099.030001</v>
      </c>
    </row>
    <row r="12" spans="1:11" ht="30" customHeight="1" x14ac:dyDescent="0.4">
      <c r="A12" s="13">
        <v>7</v>
      </c>
      <c r="B12" s="16" t="s">
        <v>91</v>
      </c>
      <c r="C12" s="14">
        <v>4269251203.6500001</v>
      </c>
      <c r="D12" s="14">
        <v>0</v>
      </c>
      <c r="E12" s="14">
        <v>0</v>
      </c>
      <c r="F12" s="14">
        <v>0</v>
      </c>
      <c r="G12" s="15">
        <f t="shared" ref="G12:G15" si="1">D12+E12+F12</f>
        <v>0</v>
      </c>
      <c r="H12" s="36">
        <f t="shared" si="0"/>
        <v>4269251203.6500001</v>
      </c>
    </row>
    <row r="13" spans="1:11" ht="38.25" customHeight="1" x14ac:dyDescent="0.4">
      <c r="A13" s="13">
        <v>8</v>
      </c>
      <c r="B13" s="16" t="s">
        <v>92</v>
      </c>
      <c r="C13" s="14">
        <v>100000000</v>
      </c>
      <c r="D13" s="14">
        <v>0</v>
      </c>
      <c r="E13" s="14">
        <v>0</v>
      </c>
      <c r="F13" s="14">
        <v>0</v>
      </c>
      <c r="G13" s="15">
        <f t="shared" si="1"/>
        <v>0</v>
      </c>
      <c r="H13" s="36">
        <f t="shared" si="0"/>
        <v>100000000</v>
      </c>
    </row>
    <row r="14" spans="1:11" ht="30" customHeight="1" x14ac:dyDescent="0.4">
      <c r="A14" s="13">
        <v>9</v>
      </c>
      <c r="B14" s="16" t="s">
        <v>93</v>
      </c>
      <c r="C14" s="14">
        <v>2055409670.5899999</v>
      </c>
      <c r="D14" s="14">
        <v>0</v>
      </c>
      <c r="E14" s="14">
        <v>0</v>
      </c>
      <c r="F14" s="14">
        <v>0</v>
      </c>
      <c r="G14" s="15">
        <f t="shared" si="1"/>
        <v>0</v>
      </c>
      <c r="H14" s="36">
        <f t="shared" si="0"/>
        <v>2055409670.5899999</v>
      </c>
    </row>
    <row r="15" spans="1:11" ht="48" customHeight="1" x14ac:dyDescent="0.4">
      <c r="A15" s="13">
        <v>10</v>
      </c>
      <c r="B15" s="16" t="s">
        <v>94</v>
      </c>
      <c r="C15" s="17">
        <v>23920441326.360001</v>
      </c>
      <c r="D15" s="14">
        <v>0</v>
      </c>
      <c r="E15" s="14">
        <v>0</v>
      </c>
      <c r="F15" s="14">
        <v>0</v>
      </c>
      <c r="G15" s="15">
        <f t="shared" si="1"/>
        <v>0</v>
      </c>
      <c r="H15" s="36">
        <f t="shared" si="0"/>
        <v>23920441326.360001</v>
      </c>
    </row>
    <row r="16" spans="1:11" ht="47.25" customHeight="1" x14ac:dyDescent="0.4">
      <c r="A16" s="13">
        <v>12</v>
      </c>
      <c r="B16" s="16" t="s">
        <v>95</v>
      </c>
      <c r="C16" s="17">
        <v>0</v>
      </c>
      <c r="D16" s="14">
        <v>0</v>
      </c>
      <c r="E16" s="14">
        <v>0</v>
      </c>
      <c r="F16" s="14">
        <v>0</v>
      </c>
      <c r="G16" s="15">
        <v>4788994307.3699999</v>
      </c>
      <c r="H16" s="36">
        <f t="shared" si="0"/>
        <v>4788994307.3699999</v>
      </c>
    </row>
    <row r="17" spans="1:11" ht="30" customHeight="1" x14ac:dyDescent="0.4">
      <c r="A17" s="13"/>
      <c r="B17" s="18" t="s">
        <v>96</v>
      </c>
      <c r="C17" s="17">
        <f>SUM(C6:C16)</f>
        <v>407864381621.54004</v>
      </c>
      <c r="D17" s="17">
        <f t="shared" ref="D17:H17" si="2">SUM(D6:D16)</f>
        <v>100000000000</v>
      </c>
      <c r="E17" s="17">
        <f t="shared" si="2"/>
        <v>50000000000</v>
      </c>
      <c r="F17" s="17">
        <f t="shared" si="2"/>
        <v>3217552495.8899002</v>
      </c>
      <c r="G17" s="17">
        <f>SUM(G6:G16)</f>
        <v>166284524561.61301</v>
      </c>
      <c r="H17" s="17">
        <f t="shared" si="2"/>
        <v>727366458679.04285</v>
      </c>
    </row>
    <row r="18" spans="1:11" ht="30" customHeight="1" x14ac:dyDescent="0.4">
      <c r="A18" s="38"/>
      <c r="B18" s="39"/>
      <c r="C18" s="40"/>
      <c r="D18" s="40"/>
      <c r="E18" s="40"/>
      <c r="F18" s="40"/>
      <c r="G18" s="40"/>
      <c r="H18" s="19"/>
    </row>
    <row r="19" spans="1:11" ht="30" customHeight="1" x14ac:dyDescent="0.45">
      <c r="A19" s="89" t="s">
        <v>104</v>
      </c>
      <c r="B19" s="89"/>
      <c r="C19" s="89"/>
      <c r="D19" s="89"/>
      <c r="E19" s="89"/>
      <c r="F19" s="89"/>
      <c r="G19" s="89"/>
      <c r="H19" s="89"/>
      <c r="I19" s="89"/>
      <c r="J19" s="89"/>
    </row>
    <row r="20" spans="1:11" ht="30" customHeight="1" x14ac:dyDescent="0.4">
      <c r="A20" s="11">
        <v>0</v>
      </c>
      <c r="B20" s="11">
        <v>1</v>
      </c>
      <c r="C20" s="11">
        <v>2</v>
      </c>
      <c r="D20" s="11">
        <v>3</v>
      </c>
      <c r="E20" s="11" t="s">
        <v>97</v>
      </c>
      <c r="F20" s="20">
        <v>5</v>
      </c>
      <c r="G20" s="11">
        <v>6</v>
      </c>
      <c r="H20" s="11">
        <v>7</v>
      </c>
      <c r="I20" s="11">
        <v>8</v>
      </c>
      <c r="J20" s="11" t="s">
        <v>115</v>
      </c>
    </row>
    <row r="21" spans="1:11" ht="86.25" customHeight="1" x14ac:dyDescent="0.4">
      <c r="A21" s="18" t="s">
        <v>0</v>
      </c>
      <c r="B21" s="18" t="s">
        <v>19</v>
      </c>
      <c r="C21" s="21" t="s">
        <v>7</v>
      </c>
      <c r="D21" s="18" t="s">
        <v>98</v>
      </c>
      <c r="E21" s="18" t="s">
        <v>12</v>
      </c>
      <c r="F21" s="37" t="s">
        <v>103</v>
      </c>
      <c r="G21" s="37" t="s">
        <v>102</v>
      </c>
      <c r="H21" s="18" t="s">
        <v>31</v>
      </c>
      <c r="I21" s="18" t="s">
        <v>23</v>
      </c>
      <c r="J21" s="18" t="s">
        <v>13</v>
      </c>
    </row>
    <row r="22" spans="1:11" ht="30" customHeight="1" x14ac:dyDescent="0.4">
      <c r="A22" s="13"/>
      <c r="B22" s="13"/>
      <c r="C22" s="12" t="s">
        <v>89</v>
      </c>
      <c r="D22" s="12" t="s">
        <v>89</v>
      </c>
      <c r="E22" s="12" t="s">
        <v>89</v>
      </c>
      <c r="F22" s="12" t="s">
        <v>89</v>
      </c>
      <c r="G22" s="12" t="s">
        <v>89</v>
      </c>
      <c r="H22" s="22" t="s">
        <v>89</v>
      </c>
      <c r="I22" s="22" t="s">
        <v>89</v>
      </c>
      <c r="J22" s="12" t="s">
        <v>89</v>
      </c>
    </row>
    <row r="23" spans="1:11" ht="30" customHeight="1" x14ac:dyDescent="0.4">
      <c r="A23" s="13">
        <v>1</v>
      </c>
      <c r="B23" s="13" t="s">
        <v>17</v>
      </c>
      <c r="C23" s="23">
        <v>166224544008.14001</v>
      </c>
      <c r="D23" s="23">
        <v>61273657790.849998</v>
      </c>
      <c r="E23" s="23">
        <f>C23-D23</f>
        <v>104950886217.29001</v>
      </c>
      <c r="F23" s="23">
        <v>48500000000</v>
      </c>
      <c r="G23" s="23">
        <v>24250000000</v>
      </c>
      <c r="H23" s="24">
        <v>1376252389.97</v>
      </c>
      <c r="I23" s="24">
        <v>21678180898.049999</v>
      </c>
      <c r="J23" s="24">
        <f>E23+F23+G23+H23+I23</f>
        <v>200755319505.31</v>
      </c>
    </row>
    <row r="24" spans="1:11" ht="30" customHeight="1" x14ac:dyDescent="0.4">
      <c r="A24" s="13">
        <v>2</v>
      </c>
      <c r="B24" s="13" t="s">
        <v>18</v>
      </c>
      <c r="C24" s="23">
        <v>3427310185.73</v>
      </c>
      <c r="D24" s="23">
        <v>0</v>
      </c>
      <c r="E24" s="23">
        <f t="shared" ref="E24:E27" si="3">C24-D24</f>
        <v>3427310185.73</v>
      </c>
      <c r="F24" s="23">
        <v>1000000000</v>
      </c>
      <c r="G24" s="23">
        <v>500000000</v>
      </c>
      <c r="H24" s="24">
        <v>28376337.940000001</v>
      </c>
      <c r="I24" s="24">
        <v>0</v>
      </c>
      <c r="J24" s="24">
        <f t="shared" ref="J24:J27" si="4">E24+F24+G24+H24+I24</f>
        <v>4955686523.6699991</v>
      </c>
    </row>
    <row r="25" spans="1:11" ht="30" customHeight="1" x14ac:dyDescent="0.4">
      <c r="A25" s="13">
        <v>3</v>
      </c>
      <c r="B25" s="13" t="s">
        <v>4</v>
      </c>
      <c r="C25" s="23">
        <v>1713655092.8699999</v>
      </c>
      <c r="D25" s="23">
        <v>0</v>
      </c>
      <c r="E25" s="23">
        <f t="shared" si="3"/>
        <v>1713655092.8699999</v>
      </c>
      <c r="F25" s="23">
        <v>500000000</v>
      </c>
      <c r="G25" s="23">
        <v>250000000</v>
      </c>
      <c r="H25" s="24">
        <v>14188168.970000001</v>
      </c>
      <c r="I25" s="24">
        <v>0</v>
      </c>
      <c r="J25" s="24">
        <f t="shared" si="4"/>
        <v>2477843261.8399997</v>
      </c>
    </row>
    <row r="26" spans="1:11" ht="51.75" customHeight="1" x14ac:dyDescent="0.4">
      <c r="A26" s="13">
        <v>4</v>
      </c>
      <c r="B26" s="16" t="s">
        <v>5</v>
      </c>
      <c r="C26" s="23">
        <v>5757881112.0299997</v>
      </c>
      <c r="D26" s="23">
        <v>0</v>
      </c>
      <c r="E26" s="23">
        <f t="shared" si="3"/>
        <v>5757881112.0299997</v>
      </c>
      <c r="F26" s="23">
        <v>1680000000</v>
      </c>
      <c r="G26" s="23">
        <v>840000000</v>
      </c>
      <c r="H26" s="23">
        <v>47672247.740000002</v>
      </c>
      <c r="I26" s="23">
        <v>0</v>
      </c>
      <c r="J26" s="24">
        <f t="shared" si="4"/>
        <v>8325553359.7699995</v>
      </c>
    </row>
    <row r="27" spans="1:11" ht="45.75" customHeight="1" thickBot="1" x14ac:dyDescent="0.45">
      <c r="A27" s="13">
        <v>5</v>
      </c>
      <c r="B27" s="13" t="s">
        <v>6</v>
      </c>
      <c r="C27" s="23">
        <v>3427310185.73</v>
      </c>
      <c r="D27" s="23">
        <v>112156719</v>
      </c>
      <c r="E27" s="23">
        <f t="shared" si="3"/>
        <v>3315153466.73</v>
      </c>
      <c r="F27" s="23">
        <v>1000000000</v>
      </c>
      <c r="G27" s="23">
        <v>500000000</v>
      </c>
      <c r="H27" s="24">
        <v>28376337.940000001</v>
      </c>
      <c r="I27" s="23">
        <v>1548441492.72</v>
      </c>
      <c r="J27" s="24">
        <f t="shared" si="4"/>
        <v>6391971297.3899994</v>
      </c>
    </row>
    <row r="28" spans="1:11" ht="30" customHeight="1" thickTop="1" thickBot="1" x14ac:dyDescent="0.45">
      <c r="A28" s="13"/>
      <c r="B28" s="20" t="s">
        <v>15</v>
      </c>
      <c r="C28" s="25">
        <f>SUM(C23:C27)</f>
        <v>180550700584.50003</v>
      </c>
      <c r="D28" s="25">
        <f t="shared" ref="D28:J28" si="5">SUM(D23:D27)</f>
        <v>61385814509.849998</v>
      </c>
      <c r="E28" s="25">
        <f t="shared" si="5"/>
        <v>119164886074.64999</v>
      </c>
      <c r="F28" s="25">
        <f t="shared" si="5"/>
        <v>52680000000</v>
      </c>
      <c r="G28" s="25">
        <f t="shared" si="5"/>
        <v>26340000000</v>
      </c>
      <c r="H28" s="25">
        <f t="shared" si="5"/>
        <v>1494865482.5600002</v>
      </c>
      <c r="I28" s="25">
        <f t="shared" si="5"/>
        <v>23226622390.77</v>
      </c>
      <c r="J28" s="25">
        <f t="shared" si="5"/>
        <v>222906373947.97998</v>
      </c>
    </row>
    <row r="29" spans="1:11" ht="70.5" customHeight="1" thickTop="1" x14ac:dyDescent="0.4">
      <c r="D29" s="26"/>
      <c r="E29" s="26"/>
      <c r="F29" s="27"/>
      <c r="G29" s="27"/>
      <c r="J29" s="41"/>
    </row>
    <row r="30" spans="1:11" ht="30" customHeight="1" x14ac:dyDescent="0.4">
      <c r="A30" s="9" t="s">
        <v>99</v>
      </c>
      <c r="E30" s="26"/>
      <c r="F30" s="26"/>
      <c r="J30" s="41"/>
      <c r="K30" s="41"/>
    </row>
    <row r="31" spans="1:11" ht="41.25" customHeight="1" x14ac:dyDescent="0.4">
      <c r="A31" s="88" t="s">
        <v>100</v>
      </c>
      <c r="B31" s="88"/>
      <c r="C31" s="88"/>
      <c r="D31" s="88"/>
      <c r="E31" s="88"/>
      <c r="F31" s="88"/>
      <c r="G31" s="88"/>
      <c r="K31" s="41"/>
    </row>
    <row r="32" spans="1:11" ht="30" customHeight="1" x14ac:dyDescent="0.4">
      <c r="B32" s="10"/>
      <c r="C32" s="10"/>
      <c r="D32" s="10"/>
      <c r="E32" s="10"/>
      <c r="F32" s="10"/>
    </row>
    <row r="33" spans="2:7" ht="30" customHeight="1" x14ac:dyDescent="0.4">
      <c r="B33" s="10"/>
      <c r="C33" s="10"/>
      <c r="D33" s="10"/>
      <c r="E33" s="10"/>
      <c r="F33" s="10"/>
    </row>
    <row r="34" spans="2:7" ht="30" customHeight="1" x14ac:dyDescent="0.4">
      <c r="B34" s="10"/>
      <c r="C34" s="10"/>
      <c r="D34" s="10"/>
      <c r="E34" s="10"/>
      <c r="F34" s="10"/>
    </row>
    <row r="35" spans="2:7" ht="30" customHeight="1" x14ac:dyDescent="0.4">
      <c r="C35" s="84" t="s">
        <v>27</v>
      </c>
      <c r="D35" s="84"/>
      <c r="E35" s="84"/>
      <c r="F35" s="84"/>
      <c r="G35" s="84"/>
    </row>
    <row r="36" spans="2:7" ht="30" customHeight="1" x14ac:dyDescent="0.4">
      <c r="C36" s="84" t="s">
        <v>127</v>
      </c>
      <c r="D36" s="84"/>
      <c r="E36" s="84"/>
      <c r="F36" s="84"/>
      <c r="G36" s="84"/>
    </row>
    <row r="37" spans="2:7" ht="30" customHeight="1" x14ac:dyDescent="0.4">
      <c r="C37" s="84" t="s">
        <v>122</v>
      </c>
      <c r="D37" s="84"/>
      <c r="E37" s="84"/>
      <c r="F37" s="84"/>
      <c r="G37" s="84"/>
    </row>
    <row r="38" spans="2:7" ht="30" customHeight="1" x14ac:dyDescent="0.4">
      <c r="C38" s="84" t="s">
        <v>29</v>
      </c>
      <c r="D38" s="84"/>
      <c r="E38" s="84"/>
      <c r="F38" s="84"/>
      <c r="G38" s="84"/>
    </row>
  </sheetData>
  <mergeCells count="9">
    <mergeCell ref="C36:G36"/>
    <mergeCell ref="C37:G37"/>
    <mergeCell ref="C38:G38"/>
    <mergeCell ref="A1:H1"/>
    <mergeCell ref="A2:H2"/>
    <mergeCell ref="A3:H3"/>
    <mergeCell ref="A31:G31"/>
    <mergeCell ref="C35:G35"/>
    <mergeCell ref="A19:J19"/>
  </mergeCells>
  <phoneticPr fontId="3" type="noConversion"/>
  <pageMargins left="0.74803149606299213" right="0.74803149606299213" top="0.39370078740157483" bottom="0.41" header="0.51181102362204722" footer="0.51181102362204722"/>
  <pageSetup scale="4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V53"/>
  <sheetViews>
    <sheetView zoomScale="80" zoomScaleNormal="80" workbookViewId="0">
      <pane xSplit="3" ySplit="9" topLeftCell="D39" activePane="bottomRight" state="frozen"/>
      <selection pane="topRight" activeCell="D1" sqref="D1"/>
      <selection pane="bottomLeft" activeCell="A10" sqref="A10"/>
      <selection pane="bottomRight" activeCell="A58" sqref="A58"/>
    </sheetView>
  </sheetViews>
  <sheetFormatPr defaultColWidth="9.109375" defaultRowHeight="13.2" x14ac:dyDescent="0.25"/>
  <cols>
    <col min="1" max="1" width="5.5546875" style="42" customWidth="1"/>
    <col min="2" max="2" width="22.44140625" style="42" customWidth="1"/>
    <col min="3" max="3" width="7.44140625" style="42" customWidth="1"/>
    <col min="4" max="4" width="20.6640625" style="42" customWidth="1"/>
    <col min="5" max="5" width="19" style="42" customWidth="1"/>
    <col min="6" max="6" width="19.44140625" style="42" customWidth="1"/>
    <col min="7" max="7" width="17.88671875" style="42" bestFit="1" customWidth="1"/>
    <col min="8" max="8" width="18.5546875" style="42" customWidth="1"/>
    <col min="9" max="9" width="19.44140625" style="42" customWidth="1"/>
    <col min="10" max="11" width="19.5546875" style="42" customWidth="1"/>
    <col min="12" max="14" width="21" style="42" customWidth="1"/>
    <col min="15" max="15" width="25.44140625" style="42" customWidth="1"/>
    <col min="16" max="16" width="22.44140625" style="42" customWidth="1"/>
    <col min="17" max="17" width="22" style="42" bestFit="1" customWidth="1"/>
    <col min="18" max="19" width="22" style="42" customWidth="1"/>
    <col min="20" max="20" width="24.109375" style="42" bestFit="1" customWidth="1"/>
    <col min="21" max="21" width="20.109375" style="42" bestFit="1" customWidth="1"/>
    <col min="22" max="22" width="4.33203125" style="42" bestFit="1" customWidth="1"/>
    <col min="23" max="16384" width="9.109375" style="42"/>
  </cols>
  <sheetData>
    <row r="1" spans="1:22" ht="24.6" x14ac:dyDescent="0.4">
      <c r="A1" s="90" t="s">
        <v>28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</row>
    <row r="2" spans="1:22" ht="24.6" hidden="1" x14ac:dyDescent="0.4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83"/>
      <c r="P2" s="83"/>
      <c r="Q2" s="43"/>
      <c r="R2" s="43"/>
      <c r="S2" s="43"/>
      <c r="T2" s="43"/>
      <c r="U2" s="43"/>
      <c r="V2" s="43"/>
    </row>
    <row r="3" spans="1:22" ht="18" customHeight="1" x14ac:dyDescent="0.35">
      <c r="F3" s="61"/>
      <c r="H3" s="44" t="s">
        <v>21</v>
      </c>
    </row>
    <row r="4" spans="1:22" ht="17.399999999999999" x14ac:dyDescent="0.3">
      <c r="A4" s="91" t="s">
        <v>109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</row>
    <row r="5" spans="1:22" ht="20.399999999999999" x14ac:dyDescent="0.35"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</row>
    <row r="6" spans="1:22" ht="26.25" customHeight="1" x14ac:dyDescent="0.25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 t="s">
        <v>8</v>
      </c>
      <c r="G6" s="45">
        <v>7</v>
      </c>
      <c r="H6" s="45">
        <v>8</v>
      </c>
      <c r="I6" s="45">
        <v>9</v>
      </c>
      <c r="J6" s="45" t="s">
        <v>9</v>
      </c>
      <c r="K6" s="45">
        <v>11</v>
      </c>
      <c r="L6" s="45">
        <v>12</v>
      </c>
      <c r="M6" s="45">
        <v>13</v>
      </c>
      <c r="N6" s="45">
        <v>14</v>
      </c>
      <c r="O6" s="45">
        <v>15</v>
      </c>
      <c r="P6" s="45">
        <v>16</v>
      </c>
      <c r="Q6" s="45">
        <v>17</v>
      </c>
      <c r="R6" s="45">
        <v>18</v>
      </c>
      <c r="S6" s="45">
        <v>19</v>
      </c>
      <c r="T6" s="45" t="s">
        <v>123</v>
      </c>
      <c r="U6" s="45" t="s">
        <v>124</v>
      </c>
      <c r="V6" s="46"/>
    </row>
    <row r="7" spans="1:22" ht="20.100000000000001" customHeight="1" x14ac:dyDescent="0.3">
      <c r="A7" s="95" t="s">
        <v>0</v>
      </c>
      <c r="B7" s="95" t="s">
        <v>19</v>
      </c>
      <c r="C7" s="95" t="s">
        <v>1</v>
      </c>
      <c r="D7" s="95" t="s">
        <v>105</v>
      </c>
      <c r="E7" s="95" t="s">
        <v>30</v>
      </c>
      <c r="F7" s="95" t="s">
        <v>2</v>
      </c>
      <c r="G7" s="101" t="s">
        <v>22</v>
      </c>
      <c r="H7" s="102"/>
      <c r="I7" s="103"/>
      <c r="J7" s="95" t="s">
        <v>12</v>
      </c>
      <c r="K7" s="93" t="s">
        <v>103</v>
      </c>
      <c r="L7" s="93" t="s">
        <v>102</v>
      </c>
      <c r="M7" s="93" t="s">
        <v>31</v>
      </c>
      <c r="N7" s="93" t="s">
        <v>116</v>
      </c>
      <c r="O7" s="93" t="s">
        <v>117</v>
      </c>
      <c r="P7" s="93" t="s">
        <v>118</v>
      </c>
      <c r="Q7" s="93" t="s">
        <v>69</v>
      </c>
      <c r="R7" s="93" t="s">
        <v>106</v>
      </c>
      <c r="S7" s="93" t="s">
        <v>107</v>
      </c>
      <c r="T7" s="97" t="s">
        <v>24</v>
      </c>
      <c r="U7" s="97" t="s">
        <v>13</v>
      </c>
      <c r="V7" s="97" t="s">
        <v>0</v>
      </c>
    </row>
    <row r="8" spans="1:22" ht="71.25" customHeight="1" x14ac:dyDescent="0.3">
      <c r="A8" s="96"/>
      <c r="B8" s="96"/>
      <c r="C8" s="96"/>
      <c r="D8" s="96"/>
      <c r="E8" s="96"/>
      <c r="F8" s="96"/>
      <c r="G8" s="47" t="s">
        <v>3</v>
      </c>
      <c r="H8" s="47" t="s">
        <v>11</v>
      </c>
      <c r="I8" s="47" t="s">
        <v>87</v>
      </c>
      <c r="J8" s="96"/>
      <c r="K8" s="94"/>
      <c r="L8" s="94"/>
      <c r="M8" s="94"/>
      <c r="N8" s="94"/>
      <c r="O8" s="94"/>
      <c r="P8" s="94"/>
      <c r="Q8" s="94"/>
      <c r="R8" s="94"/>
      <c r="S8" s="94"/>
      <c r="T8" s="98"/>
      <c r="U8" s="98"/>
      <c r="V8" s="98"/>
    </row>
    <row r="9" spans="1:22" ht="17.399999999999999" x14ac:dyDescent="0.3">
      <c r="A9" s="46"/>
      <c r="B9" s="46"/>
      <c r="C9" s="46"/>
      <c r="D9" s="48" t="s">
        <v>89</v>
      </c>
      <c r="E9" s="48" t="s">
        <v>89</v>
      </c>
      <c r="F9" s="48" t="s">
        <v>89</v>
      </c>
      <c r="G9" s="48" t="s">
        <v>89</v>
      </c>
      <c r="H9" s="48" t="s">
        <v>89</v>
      </c>
      <c r="I9" s="48" t="s">
        <v>89</v>
      </c>
      <c r="J9" s="48" t="s">
        <v>89</v>
      </c>
      <c r="K9" s="48" t="s">
        <v>89</v>
      </c>
      <c r="L9" s="48" t="s">
        <v>89</v>
      </c>
      <c r="M9" s="48" t="s">
        <v>89</v>
      </c>
      <c r="N9" s="48" t="s">
        <v>89</v>
      </c>
      <c r="O9" s="48" t="s">
        <v>89</v>
      </c>
      <c r="P9" s="48" t="s">
        <v>89</v>
      </c>
      <c r="Q9" s="48" t="s">
        <v>89</v>
      </c>
      <c r="R9" s="48" t="s">
        <v>89</v>
      </c>
      <c r="S9" s="48" t="s">
        <v>89</v>
      </c>
      <c r="T9" s="48" t="s">
        <v>89</v>
      </c>
      <c r="U9" s="48" t="s">
        <v>89</v>
      </c>
      <c r="V9" s="46"/>
    </row>
    <row r="10" spans="1:22" ht="18" customHeight="1" x14ac:dyDescent="0.25">
      <c r="A10" s="46">
        <v>1</v>
      </c>
      <c r="B10" s="49" t="s">
        <v>33</v>
      </c>
      <c r="C10" s="50">
        <v>17</v>
      </c>
      <c r="D10" s="51">
        <v>2200424705.559</v>
      </c>
      <c r="E10" s="51">
        <v>267546973.13999999</v>
      </c>
      <c r="F10" s="52">
        <f>D10+E10</f>
        <v>2467971678.6989999</v>
      </c>
      <c r="G10" s="53">
        <v>90495551.450000003</v>
      </c>
      <c r="H10" s="53">
        <v>0</v>
      </c>
      <c r="I10" s="51">
        <f>853294633.43-G10</f>
        <v>762799081.9799999</v>
      </c>
      <c r="J10" s="54">
        <f>F10-G10-H10-I10</f>
        <v>1614677045.2690001</v>
      </c>
      <c r="K10" s="54">
        <v>642026718.67999995</v>
      </c>
      <c r="L10" s="52">
        <v>321013359.33999997</v>
      </c>
      <c r="M10" s="52">
        <v>23221399.440000001</v>
      </c>
      <c r="N10" s="52">
        <v>88108148.703799993</v>
      </c>
      <c r="O10" s="52">
        <f>N10/2</f>
        <v>44054074.351899996</v>
      </c>
      <c r="P10" s="52">
        <f>N10-O10</f>
        <v>44054074.351899996</v>
      </c>
      <c r="Q10" s="54">
        <v>1578276598.9400001</v>
      </c>
      <c r="R10" s="55">
        <v>0</v>
      </c>
      <c r="S10" s="55">
        <f>Q10-R10</f>
        <v>1578276598.9400001</v>
      </c>
      <c r="T10" s="55">
        <f>F10+K10+L10++M10+N10+Q10</f>
        <v>5120617903.8028002</v>
      </c>
      <c r="U10" s="56">
        <f>J10+K10+L10+M10+P10+S10</f>
        <v>4223269196.0209002</v>
      </c>
      <c r="V10" s="46">
        <v>1</v>
      </c>
    </row>
    <row r="11" spans="1:22" ht="18" customHeight="1" x14ac:dyDescent="0.25">
      <c r="A11" s="46">
        <v>2</v>
      </c>
      <c r="B11" s="49" t="s">
        <v>34</v>
      </c>
      <c r="C11" s="57">
        <v>21</v>
      </c>
      <c r="D11" s="51">
        <v>2340873487.6349001</v>
      </c>
      <c r="E11" s="51">
        <v>0</v>
      </c>
      <c r="F11" s="52">
        <f t="shared" ref="F11:F45" si="0">D11+E11</f>
        <v>2340873487.6349001</v>
      </c>
      <c r="G11" s="53">
        <v>102331326.8</v>
      </c>
      <c r="H11" s="53">
        <v>0</v>
      </c>
      <c r="I11" s="51">
        <f>599371617.39-H11-G11</f>
        <v>497040290.58999997</v>
      </c>
      <c r="J11" s="54">
        <f t="shared" ref="J11:J45" si="1">F11-G11-H11-I11</f>
        <v>1741501870.2449</v>
      </c>
      <c r="K11" s="54">
        <v>683006019.51999998</v>
      </c>
      <c r="L11" s="52">
        <v>341503009.75999999</v>
      </c>
      <c r="M11" s="52">
        <v>19381209.620000001</v>
      </c>
      <c r="N11" s="52">
        <v>93731918.581200004</v>
      </c>
      <c r="O11" s="52">
        <v>0</v>
      </c>
      <c r="P11" s="52">
        <f t="shared" ref="P11:P45" si="2">N11-O11</f>
        <v>93731918.581200004</v>
      </c>
      <c r="Q11" s="54">
        <v>1658791430.28</v>
      </c>
      <c r="R11" s="55">
        <v>0</v>
      </c>
      <c r="S11" s="55">
        <f t="shared" ref="S11:S45" si="3">Q11-R11</f>
        <v>1658791430.28</v>
      </c>
      <c r="T11" s="55">
        <f t="shared" ref="T11:T45" si="4">F11+K11+L11++M11+N11+Q11</f>
        <v>5137287075.3961</v>
      </c>
      <c r="U11" s="56">
        <f t="shared" ref="U11:U45" si="5">J11+K11+L11+M11+P11+S11</f>
        <v>4537915458.0061007</v>
      </c>
      <c r="V11" s="46">
        <v>2</v>
      </c>
    </row>
    <row r="12" spans="1:22" ht="18" customHeight="1" x14ac:dyDescent="0.25">
      <c r="A12" s="46">
        <v>3</v>
      </c>
      <c r="B12" s="49" t="s">
        <v>35</v>
      </c>
      <c r="C12" s="57">
        <v>31</v>
      </c>
      <c r="D12" s="51">
        <v>2362627040.9886999</v>
      </c>
      <c r="E12" s="51">
        <v>4937346371.8199997</v>
      </c>
      <c r="F12" s="52">
        <f t="shared" si="0"/>
        <v>7299973412.8086996</v>
      </c>
      <c r="G12" s="53">
        <v>80009252.760000005</v>
      </c>
      <c r="H12" s="53">
        <v>0</v>
      </c>
      <c r="I12" s="51">
        <f>1321323356.98-H12-G12</f>
        <v>1241314104.22</v>
      </c>
      <c r="J12" s="54">
        <f t="shared" si="1"/>
        <v>5978650055.8286991</v>
      </c>
      <c r="K12" s="54">
        <v>689353140.77999997</v>
      </c>
      <c r="L12" s="52">
        <v>344676570.38999999</v>
      </c>
      <c r="M12" s="52">
        <v>110400968.59</v>
      </c>
      <c r="N12" s="52">
        <v>94602961.934300005</v>
      </c>
      <c r="O12" s="52">
        <f>N12/2</f>
        <v>47301480.967150003</v>
      </c>
      <c r="P12" s="52">
        <f t="shared" si="2"/>
        <v>47301480.967150003</v>
      </c>
      <c r="Q12" s="54">
        <v>1782857511.8099999</v>
      </c>
      <c r="R12" s="55">
        <v>0</v>
      </c>
      <c r="S12" s="55">
        <f t="shared" si="3"/>
        <v>1782857511.8099999</v>
      </c>
      <c r="T12" s="55">
        <f t="shared" si="4"/>
        <v>10321864566.313</v>
      </c>
      <c r="U12" s="56">
        <f t="shared" si="5"/>
        <v>8953239728.3658485</v>
      </c>
      <c r="V12" s="46">
        <v>3</v>
      </c>
    </row>
    <row r="13" spans="1:22" ht="18" customHeight="1" x14ac:dyDescent="0.25">
      <c r="A13" s="46">
        <v>4</v>
      </c>
      <c r="B13" s="49" t="s">
        <v>36</v>
      </c>
      <c r="C13" s="57">
        <v>21</v>
      </c>
      <c r="D13" s="51">
        <v>2336488136.7443995</v>
      </c>
      <c r="E13" s="51">
        <v>0</v>
      </c>
      <c r="F13" s="52">
        <f t="shared" si="0"/>
        <v>2336488136.7443995</v>
      </c>
      <c r="G13" s="53">
        <v>86007208.379999995</v>
      </c>
      <c r="H13" s="53">
        <v>0</v>
      </c>
      <c r="I13" s="51">
        <f>509544372.66-H13-G13</f>
        <v>423537164.28000003</v>
      </c>
      <c r="J13" s="54">
        <f t="shared" si="1"/>
        <v>1826943764.0843995</v>
      </c>
      <c r="K13" s="54">
        <v>681726488.15999997</v>
      </c>
      <c r="L13" s="52">
        <v>340863244.07999998</v>
      </c>
      <c r="M13" s="52">
        <v>19344901.210000001</v>
      </c>
      <c r="N13" s="52">
        <v>93556322.866899997</v>
      </c>
      <c r="O13" s="52">
        <v>0</v>
      </c>
      <c r="P13" s="52">
        <f t="shared" si="2"/>
        <v>93556322.866899997</v>
      </c>
      <c r="Q13" s="54">
        <v>1915135732.8399999</v>
      </c>
      <c r="R13" s="55">
        <v>0</v>
      </c>
      <c r="S13" s="55">
        <f t="shared" si="3"/>
        <v>1915135732.8399999</v>
      </c>
      <c r="T13" s="55">
        <f t="shared" si="4"/>
        <v>5387114825.9012995</v>
      </c>
      <c r="U13" s="56">
        <f t="shared" si="5"/>
        <v>4877570453.2412996</v>
      </c>
      <c r="V13" s="46">
        <v>4</v>
      </c>
    </row>
    <row r="14" spans="1:22" ht="18" customHeight="1" x14ac:dyDescent="0.25">
      <c r="A14" s="46">
        <v>5</v>
      </c>
      <c r="B14" s="49" t="s">
        <v>37</v>
      </c>
      <c r="C14" s="57">
        <v>20</v>
      </c>
      <c r="D14" s="51">
        <v>2810873510.0388999</v>
      </c>
      <c r="E14" s="51">
        <v>0</v>
      </c>
      <c r="F14" s="52">
        <f t="shared" si="0"/>
        <v>2810873510.0388999</v>
      </c>
      <c r="G14" s="53">
        <v>222151610.31</v>
      </c>
      <c r="H14" s="53">
        <v>201255000</v>
      </c>
      <c r="I14" s="51">
        <f>1299028175.61-H14-G14</f>
        <v>875621565.29999995</v>
      </c>
      <c r="J14" s="54">
        <f t="shared" si="1"/>
        <v>1511845334.4289</v>
      </c>
      <c r="K14" s="54">
        <v>820139805.75999999</v>
      </c>
      <c r="L14" s="52">
        <v>410069902.88</v>
      </c>
      <c r="M14" s="52">
        <v>23272564.289999999</v>
      </c>
      <c r="N14" s="52">
        <v>112551390.91339999</v>
      </c>
      <c r="O14" s="52">
        <v>0</v>
      </c>
      <c r="P14" s="52">
        <f t="shared" si="2"/>
        <v>112551390.91339999</v>
      </c>
      <c r="Q14" s="54">
        <v>1925378285.1600001</v>
      </c>
      <c r="R14" s="55">
        <v>0</v>
      </c>
      <c r="S14" s="55">
        <f t="shared" si="3"/>
        <v>1925378285.1600001</v>
      </c>
      <c r="T14" s="55">
        <f t="shared" si="4"/>
        <v>6102285459.0423002</v>
      </c>
      <c r="U14" s="56">
        <f t="shared" si="5"/>
        <v>4803257283.4323006</v>
      </c>
      <c r="V14" s="46">
        <v>5</v>
      </c>
    </row>
    <row r="15" spans="1:22" ht="18" customHeight="1" x14ac:dyDescent="0.25">
      <c r="A15" s="46">
        <v>6</v>
      </c>
      <c r="B15" s="49" t="s">
        <v>38</v>
      </c>
      <c r="C15" s="57">
        <v>8</v>
      </c>
      <c r="D15" s="51">
        <v>2079247456.5388</v>
      </c>
      <c r="E15" s="51">
        <v>3946721463.9400001</v>
      </c>
      <c r="F15" s="52">
        <f t="shared" si="0"/>
        <v>6025968920.4787998</v>
      </c>
      <c r="G15" s="53">
        <v>172604749.97</v>
      </c>
      <c r="H15" s="53">
        <v>0</v>
      </c>
      <c r="I15" s="51">
        <f>1615584979.46-H15-G15</f>
        <v>1442980229.49</v>
      </c>
      <c r="J15" s="54">
        <f t="shared" si="1"/>
        <v>4410383941.0187998</v>
      </c>
      <c r="K15" s="54">
        <v>606670346.10000002</v>
      </c>
      <c r="L15" s="52">
        <v>303335173.05000001</v>
      </c>
      <c r="M15" s="52">
        <v>86571780.829999998</v>
      </c>
      <c r="N15" s="52">
        <v>83256038.541299984</v>
      </c>
      <c r="O15" s="52">
        <f>N15/2</f>
        <v>41628019.270649992</v>
      </c>
      <c r="P15" s="52">
        <f t="shared" si="2"/>
        <v>41628019.270649992</v>
      </c>
      <c r="Q15" s="54">
        <v>1563906998.22</v>
      </c>
      <c r="R15" s="55">
        <v>0</v>
      </c>
      <c r="S15" s="55">
        <f t="shared" si="3"/>
        <v>1563906998.22</v>
      </c>
      <c r="T15" s="55">
        <f t="shared" si="4"/>
        <v>8669709257.2201004</v>
      </c>
      <c r="U15" s="56">
        <f t="shared" si="5"/>
        <v>7012496258.4894505</v>
      </c>
      <c r="V15" s="46">
        <v>6</v>
      </c>
    </row>
    <row r="16" spans="1:22" ht="18" customHeight="1" x14ac:dyDescent="0.25">
      <c r="A16" s="46">
        <v>7</v>
      </c>
      <c r="B16" s="49" t="s">
        <v>39</v>
      </c>
      <c r="C16" s="57">
        <v>23</v>
      </c>
      <c r="D16" s="51">
        <v>2635375621.8600998</v>
      </c>
      <c r="E16" s="51">
        <v>0</v>
      </c>
      <c r="F16" s="52">
        <f t="shared" si="0"/>
        <v>2635375621.8600998</v>
      </c>
      <c r="G16" s="53">
        <v>55414264.829999998</v>
      </c>
      <c r="H16" s="53">
        <v>103855987.23</v>
      </c>
      <c r="I16" s="51">
        <f>1210113003.89-H16-G16</f>
        <v>1050842751.83</v>
      </c>
      <c r="J16" s="54">
        <f t="shared" si="1"/>
        <v>1425262617.9700999</v>
      </c>
      <c r="K16" s="54">
        <v>768934085.05999994</v>
      </c>
      <c r="L16" s="52">
        <v>384467042.52999997</v>
      </c>
      <c r="M16" s="52">
        <v>21819533.449999999</v>
      </c>
      <c r="N16" s="52">
        <v>105524204.7569</v>
      </c>
      <c r="O16" s="52">
        <f>N16/2</f>
        <v>52762102.378449999</v>
      </c>
      <c r="P16" s="52">
        <f t="shared" si="2"/>
        <v>52762102.378449999</v>
      </c>
      <c r="Q16" s="54">
        <v>1810083819.53</v>
      </c>
      <c r="R16" s="55">
        <v>0</v>
      </c>
      <c r="S16" s="55">
        <f t="shared" si="3"/>
        <v>1810083819.53</v>
      </c>
      <c r="T16" s="55">
        <f t="shared" si="4"/>
        <v>5726204307.1869993</v>
      </c>
      <c r="U16" s="56">
        <f t="shared" si="5"/>
        <v>4463329200.9185495</v>
      </c>
      <c r="V16" s="46">
        <v>7</v>
      </c>
    </row>
    <row r="17" spans="1:22" ht="18" customHeight="1" x14ac:dyDescent="0.25">
      <c r="A17" s="46">
        <v>8</v>
      </c>
      <c r="B17" s="49" t="s">
        <v>40</v>
      </c>
      <c r="C17" s="57">
        <v>27</v>
      </c>
      <c r="D17" s="51">
        <v>2919618502.7581997</v>
      </c>
      <c r="E17" s="51">
        <v>0</v>
      </c>
      <c r="F17" s="52">
        <f t="shared" si="0"/>
        <v>2919618502.7581997</v>
      </c>
      <c r="G17" s="53">
        <v>38682179.93</v>
      </c>
      <c r="H17" s="53">
        <v>0</v>
      </c>
      <c r="I17" s="51">
        <f>606132693.72-H17-G17</f>
        <v>567450513.79000008</v>
      </c>
      <c r="J17" s="54">
        <f t="shared" si="1"/>
        <v>2313485809.0381999</v>
      </c>
      <c r="K17" s="54">
        <v>851868767.20000005</v>
      </c>
      <c r="L17" s="52">
        <v>425934383.60000002</v>
      </c>
      <c r="M17" s="52">
        <v>24172916.010000002</v>
      </c>
      <c r="N17" s="52">
        <v>116905695.77299999</v>
      </c>
      <c r="O17" s="52">
        <v>0</v>
      </c>
      <c r="P17" s="52">
        <f t="shared" si="2"/>
        <v>116905695.77299999</v>
      </c>
      <c r="Q17" s="54">
        <v>1856618955.8900001</v>
      </c>
      <c r="R17" s="55">
        <v>0</v>
      </c>
      <c r="S17" s="55">
        <f t="shared" si="3"/>
        <v>1856618955.8900001</v>
      </c>
      <c r="T17" s="55">
        <f t="shared" si="4"/>
        <v>6195119221.2312002</v>
      </c>
      <c r="U17" s="56">
        <f t="shared" si="5"/>
        <v>5588986527.5112</v>
      </c>
      <c r="V17" s="46">
        <v>8</v>
      </c>
    </row>
    <row r="18" spans="1:22" ht="18" customHeight="1" x14ac:dyDescent="0.25">
      <c r="A18" s="46">
        <v>9</v>
      </c>
      <c r="B18" s="49" t="s">
        <v>41</v>
      </c>
      <c r="C18" s="57">
        <v>18</v>
      </c>
      <c r="D18" s="51">
        <v>2363029966.6345997</v>
      </c>
      <c r="E18" s="51">
        <v>0</v>
      </c>
      <c r="F18" s="52">
        <f t="shared" si="0"/>
        <v>2363029966.6345997</v>
      </c>
      <c r="G18" s="53">
        <v>337825536.31</v>
      </c>
      <c r="H18" s="53">
        <v>633134951.91999996</v>
      </c>
      <c r="I18" s="51">
        <f>1778328411.62-H18-G18</f>
        <v>807367923.38999987</v>
      </c>
      <c r="J18" s="54">
        <f t="shared" si="1"/>
        <v>584701555.0145998</v>
      </c>
      <c r="K18" s="54">
        <v>689470704.01999998</v>
      </c>
      <c r="L18" s="52">
        <v>344735352.00999999</v>
      </c>
      <c r="M18" s="52">
        <v>19564653.699999999</v>
      </c>
      <c r="N18" s="52">
        <v>94619095.652899995</v>
      </c>
      <c r="O18" s="52">
        <f t="shared" ref="O18:O21" si="6">N18/2</f>
        <v>47309547.826449998</v>
      </c>
      <c r="P18" s="52">
        <f t="shared" si="2"/>
        <v>47309547.826449998</v>
      </c>
      <c r="Q18" s="54">
        <v>1588620478.4100001</v>
      </c>
      <c r="R18" s="55">
        <v>0</v>
      </c>
      <c r="S18" s="55">
        <f t="shared" si="3"/>
        <v>1588620478.4100001</v>
      </c>
      <c r="T18" s="55">
        <f t="shared" si="4"/>
        <v>5100040250.4274998</v>
      </c>
      <c r="U18" s="56">
        <f t="shared" si="5"/>
        <v>3274402290.98105</v>
      </c>
      <c r="V18" s="46">
        <v>9</v>
      </c>
    </row>
    <row r="19" spans="1:22" ht="18" customHeight="1" x14ac:dyDescent="0.25">
      <c r="A19" s="46">
        <v>10</v>
      </c>
      <c r="B19" s="49" t="s">
        <v>42</v>
      </c>
      <c r="C19" s="57">
        <v>25</v>
      </c>
      <c r="D19" s="51">
        <v>2386000908.6931</v>
      </c>
      <c r="E19" s="51">
        <v>6672132806.3599997</v>
      </c>
      <c r="F19" s="52">
        <f t="shared" si="0"/>
        <v>9058133715.0531006</v>
      </c>
      <c r="G19" s="53">
        <v>57727995.840000004</v>
      </c>
      <c r="H19" s="53">
        <v>0</v>
      </c>
      <c r="I19" s="51">
        <f>1624071946.8-H19-G19</f>
        <v>1566343950.96</v>
      </c>
      <c r="J19" s="54">
        <f t="shared" si="1"/>
        <v>7434061768.2531004</v>
      </c>
      <c r="K19" s="54">
        <v>696173027.63999999</v>
      </c>
      <c r="L19" s="52">
        <v>348086513.81999999</v>
      </c>
      <c r="M19" s="52">
        <v>141222095.59</v>
      </c>
      <c r="N19" s="52">
        <v>95538884.988700002</v>
      </c>
      <c r="O19" s="52">
        <f t="shared" si="6"/>
        <v>47769442.494350001</v>
      </c>
      <c r="P19" s="52">
        <f t="shared" si="2"/>
        <v>47769442.494350001</v>
      </c>
      <c r="Q19" s="54">
        <v>1873773738.0599999</v>
      </c>
      <c r="R19" s="55">
        <v>0</v>
      </c>
      <c r="S19" s="55">
        <f t="shared" si="3"/>
        <v>1873773738.0599999</v>
      </c>
      <c r="T19" s="55">
        <f t="shared" si="4"/>
        <v>12212927975.1518</v>
      </c>
      <c r="U19" s="56">
        <f t="shared" si="5"/>
        <v>10541086585.85745</v>
      </c>
      <c r="V19" s="46">
        <v>10</v>
      </c>
    </row>
    <row r="20" spans="1:22" ht="18" customHeight="1" x14ac:dyDescent="0.25">
      <c r="A20" s="46">
        <v>11</v>
      </c>
      <c r="B20" s="49" t="s">
        <v>43</v>
      </c>
      <c r="C20" s="57">
        <v>13</v>
      </c>
      <c r="D20" s="51">
        <v>2102333507.2235003</v>
      </c>
      <c r="E20" s="51">
        <v>0</v>
      </c>
      <c r="F20" s="52">
        <f t="shared" si="0"/>
        <v>2102333507.2235003</v>
      </c>
      <c r="G20" s="53">
        <v>85077064.760000005</v>
      </c>
      <c r="H20" s="53">
        <v>0</v>
      </c>
      <c r="I20" s="51">
        <f>532608622.37-H20-G20</f>
        <v>447531557.61000001</v>
      </c>
      <c r="J20" s="54">
        <f t="shared" si="1"/>
        <v>1569724884.8535004</v>
      </c>
      <c r="K20" s="54">
        <v>613406255.41999996</v>
      </c>
      <c r="L20" s="52">
        <v>306703127.70999998</v>
      </c>
      <c r="M20" s="52">
        <v>17406223.199999999</v>
      </c>
      <c r="N20" s="52">
        <v>84180436.9912</v>
      </c>
      <c r="O20" s="52">
        <v>0</v>
      </c>
      <c r="P20" s="52">
        <f t="shared" si="2"/>
        <v>84180436.9912</v>
      </c>
      <c r="Q20" s="54">
        <v>1559095336.54</v>
      </c>
      <c r="R20" s="55">
        <v>0</v>
      </c>
      <c r="S20" s="55">
        <f t="shared" si="3"/>
        <v>1559095336.54</v>
      </c>
      <c r="T20" s="55">
        <f t="shared" si="4"/>
        <v>4683124887.0846996</v>
      </c>
      <c r="U20" s="56">
        <f t="shared" si="5"/>
        <v>4150516264.7147002</v>
      </c>
      <c r="V20" s="46">
        <v>11</v>
      </c>
    </row>
    <row r="21" spans="1:22" ht="18" customHeight="1" x14ac:dyDescent="0.25">
      <c r="A21" s="46">
        <v>12</v>
      </c>
      <c r="B21" s="49" t="s">
        <v>44</v>
      </c>
      <c r="C21" s="57">
        <v>18</v>
      </c>
      <c r="D21" s="51">
        <v>2197275454.8004999</v>
      </c>
      <c r="E21" s="51">
        <v>664742468.85000002</v>
      </c>
      <c r="F21" s="52">
        <f t="shared" si="0"/>
        <v>2862017923.6504998</v>
      </c>
      <c r="G21" s="53">
        <v>144369361.52000001</v>
      </c>
      <c r="H21" s="53">
        <v>0</v>
      </c>
      <c r="I21" s="51">
        <f>1232143068.34-H21-G21</f>
        <v>1087773706.8199999</v>
      </c>
      <c r="J21" s="54">
        <f t="shared" si="1"/>
        <v>1629874855.3104999</v>
      </c>
      <c r="K21" s="54">
        <v>641107847.17999995</v>
      </c>
      <c r="L21" s="52">
        <v>320553923.58999997</v>
      </c>
      <c r="M21" s="52">
        <v>29593596.57</v>
      </c>
      <c r="N21" s="52">
        <v>87982048.204700008</v>
      </c>
      <c r="O21" s="52">
        <f t="shared" si="6"/>
        <v>43991024.102350004</v>
      </c>
      <c r="P21" s="52">
        <f t="shared" si="2"/>
        <v>43991024.102350004</v>
      </c>
      <c r="Q21" s="54">
        <v>1831786533.0999999</v>
      </c>
      <c r="R21" s="55">
        <v>0</v>
      </c>
      <c r="S21" s="55">
        <f t="shared" si="3"/>
        <v>1831786533.0999999</v>
      </c>
      <c r="T21" s="55">
        <f t="shared" si="4"/>
        <v>5773041872.2952003</v>
      </c>
      <c r="U21" s="56">
        <f t="shared" si="5"/>
        <v>4496907779.85285</v>
      </c>
      <c r="V21" s="46">
        <v>12</v>
      </c>
    </row>
    <row r="22" spans="1:22" ht="18" customHeight="1" x14ac:dyDescent="0.25">
      <c r="A22" s="46">
        <v>13</v>
      </c>
      <c r="B22" s="49" t="s">
        <v>45</v>
      </c>
      <c r="C22" s="57">
        <v>16</v>
      </c>
      <c r="D22" s="51">
        <v>2101147172.6771998</v>
      </c>
      <c r="E22" s="51">
        <v>0</v>
      </c>
      <c r="F22" s="52">
        <f t="shared" si="0"/>
        <v>2101147172.6771998</v>
      </c>
      <c r="G22" s="53">
        <v>186251942.97999999</v>
      </c>
      <c r="H22" s="53">
        <v>491490204.30000001</v>
      </c>
      <c r="I22" s="51">
        <f>1335758025.59-H22-G22</f>
        <v>658015878.30999994</v>
      </c>
      <c r="J22" s="54">
        <f t="shared" si="1"/>
        <v>765389147.08719993</v>
      </c>
      <c r="K22" s="54">
        <v>613060113.86000001</v>
      </c>
      <c r="L22" s="52">
        <v>306530056.93000001</v>
      </c>
      <c r="M22" s="52">
        <v>17396400.969999999</v>
      </c>
      <c r="N22" s="52">
        <v>84132934.461099997</v>
      </c>
      <c r="O22" s="52">
        <v>0</v>
      </c>
      <c r="P22" s="52">
        <f t="shared" si="2"/>
        <v>84132934.461099997</v>
      </c>
      <c r="Q22" s="54">
        <v>1563962677.54</v>
      </c>
      <c r="R22" s="55">
        <v>0</v>
      </c>
      <c r="S22" s="55">
        <f t="shared" si="3"/>
        <v>1563962677.54</v>
      </c>
      <c r="T22" s="55">
        <f t="shared" si="4"/>
        <v>4686229356.4382992</v>
      </c>
      <c r="U22" s="56">
        <f t="shared" si="5"/>
        <v>3350471330.8483</v>
      </c>
      <c r="V22" s="46">
        <v>13</v>
      </c>
    </row>
    <row r="23" spans="1:22" ht="18" customHeight="1" x14ac:dyDescent="0.25">
      <c r="A23" s="46">
        <v>14</v>
      </c>
      <c r="B23" s="49" t="s">
        <v>46</v>
      </c>
      <c r="C23" s="57">
        <v>17</v>
      </c>
      <c r="D23" s="51">
        <v>2363233912.0752001</v>
      </c>
      <c r="E23" s="51">
        <v>0</v>
      </c>
      <c r="F23" s="52">
        <f t="shared" si="0"/>
        <v>2363233912.0752001</v>
      </c>
      <c r="G23" s="53">
        <v>134272278.47</v>
      </c>
      <c r="H23" s="53">
        <v>0</v>
      </c>
      <c r="I23" s="51">
        <f>610634862.87-H23-G23</f>
        <v>476362584.39999998</v>
      </c>
      <c r="J23" s="54">
        <f t="shared" si="1"/>
        <v>1752599049.2052002</v>
      </c>
      <c r="K23" s="54">
        <v>689530210</v>
      </c>
      <c r="L23" s="52">
        <v>344765105</v>
      </c>
      <c r="M23" s="58">
        <v>19566342.260000002</v>
      </c>
      <c r="N23" s="52">
        <v>94627261.919700012</v>
      </c>
      <c r="O23" s="52">
        <v>0</v>
      </c>
      <c r="P23" s="52">
        <f t="shared" si="2"/>
        <v>94627261.919700012</v>
      </c>
      <c r="Q23" s="54">
        <v>1718235799.1199999</v>
      </c>
      <c r="R23" s="55">
        <v>0</v>
      </c>
      <c r="S23" s="55">
        <f t="shared" si="3"/>
        <v>1718235799.1199999</v>
      </c>
      <c r="T23" s="55">
        <f t="shared" si="4"/>
        <v>5229958630.3749008</v>
      </c>
      <c r="U23" s="56">
        <f t="shared" si="5"/>
        <v>4619323767.5049</v>
      </c>
      <c r="V23" s="46">
        <v>14</v>
      </c>
    </row>
    <row r="24" spans="1:22" ht="18" customHeight="1" x14ac:dyDescent="0.25">
      <c r="A24" s="46">
        <v>15</v>
      </c>
      <c r="B24" s="49" t="s">
        <v>47</v>
      </c>
      <c r="C24" s="57">
        <v>11</v>
      </c>
      <c r="D24" s="51">
        <v>2213428102.8983002</v>
      </c>
      <c r="E24" s="51">
        <v>0</v>
      </c>
      <c r="F24" s="52">
        <f t="shared" si="0"/>
        <v>2213428102.8983002</v>
      </c>
      <c r="G24" s="53">
        <v>88010682.840000004</v>
      </c>
      <c r="H24" s="53">
        <v>526362473.37</v>
      </c>
      <c r="I24" s="51">
        <f>932102154.24-H24-G24</f>
        <v>317728998.02999997</v>
      </c>
      <c r="J24" s="54">
        <f t="shared" si="1"/>
        <v>1281325948.6583002</v>
      </c>
      <c r="K24" s="54">
        <v>645820769.91999996</v>
      </c>
      <c r="L24" s="52">
        <v>322910384.95999998</v>
      </c>
      <c r="M24" s="52">
        <v>18326028.41</v>
      </c>
      <c r="N24" s="52">
        <v>88628823.309799999</v>
      </c>
      <c r="O24" s="52">
        <v>0</v>
      </c>
      <c r="P24" s="52">
        <f t="shared" si="2"/>
        <v>88628823.309799999</v>
      </c>
      <c r="Q24" s="54">
        <v>1603308543.9200001</v>
      </c>
      <c r="R24" s="55">
        <v>0</v>
      </c>
      <c r="S24" s="55">
        <f t="shared" si="3"/>
        <v>1603308543.9200001</v>
      </c>
      <c r="T24" s="55">
        <f t="shared" si="4"/>
        <v>4892422653.4181004</v>
      </c>
      <c r="U24" s="56">
        <f t="shared" si="5"/>
        <v>3960320499.1781001</v>
      </c>
      <c r="V24" s="46">
        <v>15</v>
      </c>
    </row>
    <row r="25" spans="1:22" ht="18" customHeight="1" x14ac:dyDescent="0.25">
      <c r="A25" s="46">
        <v>16</v>
      </c>
      <c r="B25" s="49" t="s">
        <v>48</v>
      </c>
      <c r="C25" s="57">
        <v>27</v>
      </c>
      <c r="D25" s="51">
        <v>2443235928.4846001</v>
      </c>
      <c r="E25" s="51">
        <v>534183774.26999998</v>
      </c>
      <c r="F25" s="52">
        <f t="shared" si="0"/>
        <v>2977419702.7546</v>
      </c>
      <c r="G25" s="53">
        <v>133288659.45999999</v>
      </c>
      <c r="H25" s="53">
        <v>0</v>
      </c>
      <c r="I25" s="51">
        <f>1214695911.28-H25-G25</f>
        <v>1081407251.8199999</v>
      </c>
      <c r="J25" s="54">
        <f t="shared" si="1"/>
        <v>1762723791.4746001</v>
      </c>
      <c r="K25" s="54">
        <v>712872718.27999997</v>
      </c>
      <c r="L25" s="52">
        <v>356436359.13999999</v>
      </c>
      <c r="M25" s="52">
        <v>30129155.390000001</v>
      </c>
      <c r="N25" s="52">
        <v>97830656.946299985</v>
      </c>
      <c r="O25" s="52">
        <f t="shared" ref="O25" si="7">N25/2</f>
        <v>48915328.473149993</v>
      </c>
      <c r="P25" s="52">
        <f t="shared" si="2"/>
        <v>48915328.473149993</v>
      </c>
      <c r="Q25" s="54">
        <v>1742671518.0699999</v>
      </c>
      <c r="R25" s="55">
        <v>0</v>
      </c>
      <c r="S25" s="55">
        <f t="shared" si="3"/>
        <v>1742671518.0699999</v>
      </c>
      <c r="T25" s="55">
        <f t="shared" si="4"/>
        <v>5917360110.5809002</v>
      </c>
      <c r="U25" s="56">
        <f t="shared" si="5"/>
        <v>4653748870.8277493</v>
      </c>
      <c r="V25" s="46">
        <v>16</v>
      </c>
    </row>
    <row r="26" spans="1:22" ht="18" customHeight="1" x14ac:dyDescent="0.25">
      <c r="A26" s="46">
        <v>17</v>
      </c>
      <c r="B26" s="49" t="s">
        <v>49</v>
      </c>
      <c r="C26" s="57">
        <v>27</v>
      </c>
      <c r="D26" s="51">
        <v>2627926885.9344001</v>
      </c>
      <c r="E26" s="51">
        <v>0</v>
      </c>
      <c r="F26" s="52">
        <f t="shared" si="0"/>
        <v>2627926885.9344001</v>
      </c>
      <c r="G26" s="53">
        <v>53213368.039999999</v>
      </c>
      <c r="H26" s="53">
        <v>0</v>
      </c>
      <c r="I26" s="51">
        <f>372121897.34-H26-G26</f>
        <v>318908529.29999995</v>
      </c>
      <c r="J26" s="54">
        <f t="shared" si="1"/>
        <v>2255804988.5944004</v>
      </c>
      <c r="K26" s="54">
        <v>766760737.58000004</v>
      </c>
      <c r="L26" s="52">
        <v>383380368.79000002</v>
      </c>
      <c r="M26" s="52">
        <v>21757861.809999999</v>
      </c>
      <c r="N26" s="52">
        <v>105225946.72930001</v>
      </c>
      <c r="O26" s="52">
        <v>0</v>
      </c>
      <c r="P26" s="52">
        <f t="shared" si="2"/>
        <v>105225946.72930001</v>
      </c>
      <c r="Q26" s="54">
        <v>1868696074.1900001</v>
      </c>
      <c r="R26" s="55">
        <v>0</v>
      </c>
      <c r="S26" s="55">
        <f t="shared" si="3"/>
        <v>1868696074.1900001</v>
      </c>
      <c r="T26" s="55">
        <f t="shared" si="4"/>
        <v>5773747875.0337</v>
      </c>
      <c r="U26" s="56">
        <f t="shared" si="5"/>
        <v>5401625977.6937008</v>
      </c>
      <c r="V26" s="46">
        <v>17</v>
      </c>
    </row>
    <row r="27" spans="1:22" ht="18" customHeight="1" x14ac:dyDescent="0.25">
      <c r="A27" s="46">
        <v>18</v>
      </c>
      <c r="B27" s="49" t="s">
        <v>50</v>
      </c>
      <c r="C27" s="57">
        <v>23</v>
      </c>
      <c r="D27" s="51">
        <v>3078922002.2083001</v>
      </c>
      <c r="E27" s="51">
        <v>0</v>
      </c>
      <c r="F27" s="52">
        <f t="shared" si="0"/>
        <v>3078922002.2083001</v>
      </c>
      <c r="G27" s="53">
        <v>687279853.72000003</v>
      </c>
      <c r="H27" s="53">
        <v>0</v>
      </c>
      <c r="I27" s="51">
        <f>1046219707.83-H27-G27</f>
        <v>358939854.11000001</v>
      </c>
      <c r="J27" s="54">
        <f t="shared" si="1"/>
        <v>2032702294.3783002</v>
      </c>
      <c r="K27" s="54">
        <v>898349386.36000001</v>
      </c>
      <c r="L27" s="52">
        <v>449174693.18000001</v>
      </c>
      <c r="M27" s="52">
        <v>25491865.77</v>
      </c>
      <c r="N27" s="52">
        <v>123284435.46960001</v>
      </c>
      <c r="O27" s="52">
        <v>0</v>
      </c>
      <c r="P27" s="52">
        <f t="shared" si="2"/>
        <v>123284435.46960001</v>
      </c>
      <c r="Q27" s="54">
        <v>2228036359.1799998</v>
      </c>
      <c r="R27" s="55">
        <v>0</v>
      </c>
      <c r="S27" s="55">
        <f t="shared" si="3"/>
        <v>2228036359.1799998</v>
      </c>
      <c r="T27" s="55">
        <f t="shared" si="4"/>
        <v>6803258742.1679001</v>
      </c>
      <c r="U27" s="56">
        <f t="shared" si="5"/>
        <v>5757039034.3379002</v>
      </c>
      <c r="V27" s="46">
        <v>18</v>
      </c>
    </row>
    <row r="28" spans="1:22" ht="18" customHeight="1" x14ac:dyDescent="0.25">
      <c r="A28" s="46">
        <v>19</v>
      </c>
      <c r="B28" s="49" t="s">
        <v>51</v>
      </c>
      <c r="C28" s="57">
        <v>44</v>
      </c>
      <c r="D28" s="51">
        <v>3727377859.6838999</v>
      </c>
      <c r="E28" s="51">
        <v>0</v>
      </c>
      <c r="F28" s="52">
        <f t="shared" si="0"/>
        <v>3727377859.6838999</v>
      </c>
      <c r="G28" s="53">
        <v>124682148.02</v>
      </c>
      <c r="H28" s="53">
        <v>292615190</v>
      </c>
      <c r="I28" s="51">
        <f>1376389486.55-H28-G28</f>
        <v>959092148.52999997</v>
      </c>
      <c r="J28" s="54">
        <f t="shared" si="1"/>
        <v>2350988373.1338997</v>
      </c>
      <c r="K28" s="54">
        <v>1087551945.3199999</v>
      </c>
      <c r="L28" s="52">
        <v>543775972.65999997</v>
      </c>
      <c r="M28" s="52">
        <v>30860741.52</v>
      </c>
      <c r="N28" s="52">
        <v>149249534.37720001</v>
      </c>
      <c r="O28" s="52">
        <v>0</v>
      </c>
      <c r="P28" s="52">
        <f t="shared" si="2"/>
        <v>149249534.37720001</v>
      </c>
      <c r="Q28" s="54">
        <v>3157008425.6100001</v>
      </c>
      <c r="R28" s="55">
        <v>0</v>
      </c>
      <c r="S28" s="55">
        <f t="shared" si="3"/>
        <v>3157008425.6100001</v>
      </c>
      <c r="T28" s="55">
        <f t="shared" si="4"/>
        <v>8695824479.1711006</v>
      </c>
      <c r="U28" s="56">
        <f t="shared" si="5"/>
        <v>7319434992.6210995</v>
      </c>
      <c r="V28" s="46">
        <v>19</v>
      </c>
    </row>
    <row r="29" spans="1:22" ht="18" customHeight="1" x14ac:dyDescent="0.25">
      <c r="A29" s="46">
        <v>20</v>
      </c>
      <c r="B29" s="49" t="s">
        <v>52</v>
      </c>
      <c r="C29" s="57">
        <v>34</v>
      </c>
      <c r="D29" s="51">
        <v>2888611760.2561998</v>
      </c>
      <c r="E29" s="51">
        <v>0</v>
      </c>
      <c r="F29" s="52">
        <f t="shared" si="0"/>
        <v>2888611760.2561998</v>
      </c>
      <c r="G29" s="53">
        <v>176028006.62</v>
      </c>
      <c r="H29" s="53">
        <v>850000000</v>
      </c>
      <c r="I29" s="51">
        <f>1429054294.07-H29-G29</f>
        <v>403026287.44999993</v>
      </c>
      <c r="J29" s="54">
        <f t="shared" si="1"/>
        <v>1459557466.1862001</v>
      </c>
      <c r="K29" s="54">
        <v>842821805.94000006</v>
      </c>
      <c r="L29" s="52">
        <v>421410902.97000003</v>
      </c>
      <c r="M29" s="52">
        <v>23916196.390000001</v>
      </c>
      <c r="N29" s="52">
        <v>115664141.5077</v>
      </c>
      <c r="O29" s="52">
        <v>0</v>
      </c>
      <c r="P29" s="52">
        <f t="shared" si="2"/>
        <v>115664141.5077</v>
      </c>
      <c r="Q29" s="54">
        <v>2084100168.1199999</v>
      </c>
      <c r="R29" s="55">
        <v>0</v>
      </c>
      <c r="S29" s="55">
        <f t="shared" si="3"/>
        <v>2084100168.1199999</v>
      </c>
      <c r="T29" s="55">
        <f t="shared" si="4"/>
        <v>6376524975.1838989</v>
      </c>
      <c r="U29" s="56">
        <f t="shared" si="5"/>
        <v>4947470681.1138992</v>
      </c>
      <c r="V29" s="46">
        <v>20</v>
      </c>
    </row>
    <row r="30" spans="1:22" ht="18" customHeight="1" x14ac:dyDescent="0.25">
      <c r="A30" s="46">
        <v>21</v>
      </c>
      <c r="B30" s="49" t="s">
        <v>53</v>
      </c>
      <c r="C30" s="57">
        <v>21</v>
      </c>
      <c r="D30" s="51">
        <v>2481331913.4895</v>
      </c>
      <c r="E30" s="51">
        <v>0</v>
      </c>
      <c r="F30" s="52">
        <f t="shared" si="0"/>
        <v>2481331913.4895</v>
      </c>
      <c r="G30" s="53">
        <v>82333068.079999998</v>
      </c>
      <c r="H30" s="53">
        <v>0</v>
      </c>
      <c r="I30" s="51">
        <f>429022880.98-H30-G30</f>
        <v>346689812.90000004</v>
      </c>
      <c r="J30" s="54">
        <f t="shared" si="1"/>
        <v>2052309032.5095</v>
      </c>
      <c r="K30" s="54">
        <v>723988136.17999995</v>
      </c>
      <c r="L30" s="52">
        <v>361994068.08999997</v>
      </c>
      <c r="M30" s="52">
        <v>20544132.02</v>
      </c>
      <c r="N30" s="52">
        <v>99356074.609200001</v>
      </c>
      <c r="O30" s="52">
        <f t="shared" ref="O30" si="8">N30/2</f>
        <v>49678037.3046</v>
      </c>
      <c r="P30" s="52">
        <f t="shared" si="2"/>
        <v>49678037.3046</v>
      </c>
      <c r="Q30" s="54">
        <v>1620609781.6199999</v>
      </c>
      <c r="R30" s="55">
        <v>0</v>
      </c>
      <c r="S30" s="55">
        <f t="shared" si="3"/>
        <v>1620609781.6199999</v>
      </c>
      <c r="T30" s="55">
        <f t="shared" si="4"/>
        <v>5307824106.0086994</v>
      </c>
      <c r="U30" s="56">
        <f t="shared" si="5"/>
        <v>4829123187.7241001</v>
      </c>
      <c r="V30" s="46">
        <v>21</v>
      </c>
    </row>
    <row r="31" spans="1:22" ht="18" customHeight="1" x14ac:dyDescent="0.25">
      <c r="A31" s="46">
        <v>22</v>
      </c>
      <c r="B31" s="49" t="s">
        <v>54</v>
      </c>
      <c r="C31" s="57">
        <v>21</v>
      </c>
      <c r="D31" s="51">
        <v>2597205423.1259999</v>
      </c>
      <c r="E31" s="51">
        <v>0</v>
      </c>
      <c r="F31" s="52">
        <f t="shared" si="0"/>
        <v>2597205423.1259999</v>
      </c>
      <c r="G31" s="53">
        <v>61368712.32</v>
      </c>
      <c r="H31" s="53">
        <v>267593824.09999999</v>
      </c>
      <c r="I31" s="51">
        <f>1084564413.31-H31-G31</f>
        <v>755601876.88999987</v>
      </c>
      <c r="J31" s="54">
        <f t="shared" si="1"/>
        <v>1512641009.816</v>
      </c>
      <c r="K31" s="54">
        <v>757797013.51999998</v>
      </c>
      <c r="L31" s="52">
        <v>378898506.75999999</v>
      </c>
      <c r="M31" s="52">
        <v>21503504.149999999</v>
      </c>
      <c r="N31" s="52">
        <v>103995815.4703</v>
      </c>
      <c r="O31" s="52">
        <f t="shared" ref="O31" si="9">N31/2</f>
        <v>51997907.735150002</v>
      </c>
      <c r="P31" s="52">
        <f t="shared" si="2"/>
        <v>51997907.735150002</v>
      </c>
      <c r="Q31" s="54">
        <v>1661664353.3299999</v>
      </c>
      <c r="R31" s="55">
        <v>0</v>
      </c>
      <c r="S31" s="55">
        <f t="shared" si="3"/>
        <v>1661664353.3299999</v>
      </c>
      <c r="T31" s="55">
        <f t="shared" si="4"/>
        <v>5521064616.3563004</v>
      </c>
      <c r="U31" s="56">
        <f t="shared" si="5"/>
        <v>4384502295.3111496</v>
      </c>
      <c r="V31" s="46">
        <v>22</v>
      </c>
    </row>
    <row r="32" spans="1:22" ht="18" customHeight="1" x14ac:dyDescent="0.25">
      <c r="A32" s="46">
        <v>23</v>
      </c>
      <c r="B32" s="49" t="s">
        <v>55</v>
      </c>
      <c r="C32" s="57">
        <v>16</v>
      </c>
      <c r="D32" s="51">
        <v>2091779446.5514002</v>
      </c>
      <c r="E32" s="51">
        <v>0</v>
      </c>
      <c r="F32" s="52">
        <f t="shared" si="0"/>
        <v>2091779446.5514002</v>
      </c>
      <c r="G32" s="53">
        <v>80347486.099999994</v>
      </c>
      <c r="H32" s="53">
        <v>632203900</v>
      </c>
      <c r="I32" s="51">
        <f>1243606218.46-H32-G32</f>
        <v>531054832.36000001</v>
      </c>
      <c r="J32" s="54">
        <f t="shared" si="1"/>
        <v>848173228.09140027</v>
      </c>
      <c r="K32" s="54">
        <v>610326854.94000006</v>
      </c>
      <c r="L32" s="52">
        <v>305163427.47000003</v>
      </c>
      <c r="M32" s="52">
        <v>17318841.079999998</v>
      </c>
      <c r="N32" s="52">
        <v>83757837.324200004</v>
      </c>
      <c r="O32" s="52">
        <f t="shared" ref="O32" si="10">N32/2</f>
        <v>41878918.662100002</v>
      </c>
      <c r="P32" s="52">
        <f t="shared" si="2"/>
        <v>41878918.662100002</v>
      </c>
      <c r="Q32" s="54">
        <v>1566841576.4200001</v>
      </c>
      <c r="R32" s="55">
        <v>0</v>
      </c>
      <c r="S32" s="55">
        <f t="shared" si="3"/>
        <v>1566841576.4200001</v>
      </c>
      <c r="T32" s="55">
        <f t="shared" si="4"/>
        <v>4675187983.7856007</v>
      </c>
      <c r="U32" s="56">
        <f t="shared" si="5"/>
        <v>3389702846.6635003</v>
      </c>
      <c r="V32" s="46">
        <v>23</v>
      </c>
    </row>
    <row r="33" spans="1:22" ht="18" customHeight="1" x14ac:dyDescent="0.25">
      <c r="A33" s="46">
        <v>24</v>
      </c>
      <c r="B33" s="49" t="s">
        <v>56</v>
      </c>
      <c r="C33" s="57">
        <v>20</v>
      </c>
      <c r="D33" s="51">
        <v>3148012408.388</v>
      </c>
      <c r="E33" s="51">
        <v>0</v>
      </c>
      <c r="F33" s="52">
        <f t="shared" si="0"/>
        <v>3148012408.388</v>
      </c>
      <c r="G33" s="53">
        <v>2729185836.0300002</v>
      </c>
      <c r="H33" s="53">
        <v>2000000000</v>
      </c>
      <c r="I33" s="51">
        <v>-999223200.41000032</v>
      </c>
      <c r="J33" s="54">
        <f t="shared" si="1"/>
        <v>-581950227.23199987</v>
      </c>
      <c r="K33" s="54">
        <v>918508170.48000002</v>
      </c>
      <c r="L33" s="52">
        <v>459254085.24000001</v>
      </c>
      <c r="M33" s="52">
        <v>26063898.239999998</v>
      </c>
      <c r="N33" s="52">
        <v>126050914.0345</v>
      </c>
      <c r="O33" s="52">
        <v>0</v>
      </c>
      <c r="P33" s="52">
        <f t="shared" si="2"/>
        <v>126050914.0345</v>
      </c>
      <c r="Q33" s="54">
        <v>11825261582.709999</v>
      </c>
      <c r="R33" s="55">
        <v>1000000000</v>
      </c>
      <c r="S33" s="55">
        <f t="shared" si="3"/>
        <v>10825261582.709999</v>
      </c>
      <c r="T33" s="55">
        <f t="shared" si="4"/>
        <v>16503151059.092499</v>
      </c>
      <c r="U33" s="56">
        <f t="shared" si="5"/>
        <v>11773188423.4725</v>
      </c>
      <c r="V33" s="46">
        <v>24</v>
      </c>
    </row>
    <row r="34" spans="1:22" ht="18" customHeight="1" x14ac:dyDescent="0.25">
      <c r="A34" s="46">
        <v>25</v>
      </c>
      <c r="B34" s="49" t="s">
        <v>57</v>
      </c>
      <c r="C34" s="57">
        <v>13</v>
      </c>
      <c r="D34" s="51">
        <v>2167088001.3481998</v>
      </c>
      <c r="E34" s="51">
        <v>0</v>
      </c>
      <c r="F34" s="52">
        <f t="shared" si="0"/>
        <v>2167088001.3481998</v>
      </c>
      <c r="G34" s="53">
        <v>73078018</v>
      </c>
      <c r="H34" s="53">
        <v>124722672.83</v>
      </c>
      <c r="I34" s="51">
        <f>477789724.78-H34-G34</f>
        <v>279989033.94999999</v>
      </c>
      <c r="J34" s="54">
        <f t="shared" si="1"/>
        <v>1689298276.5681999</v>
      </c>
      <c r="K34" s="54">
        <v>632299933.15999997</v>
      </c>
      <c r="L34" s="52">
        <v>316149966.57999998</v>
      </c>
      <c r="M34" s="52">
        <v>17942356.579999998</v>
      </c>
      <c r="N34" s="52">
        <v>86773299.443000004</v>
      </c>
      <c r="O34" s="52">
        <v>0</v>
      </c>
      <c r="P34" s="52">
        <f t="shared" si="2"/>
        <v>86773299.443000004</v>
      </c>
      <c r="Q34" s="54">
        <v>1427176425.8499999</v>
      </c>
      <c r="R34" s="55">
        <v>0</v>
      </c>
      <c r="S34" s="55">
        <f t="shared" si="3"/>
        <v>1427176425.8499999</v>
      </c>
      <c r="T34" s="55">
        <f t="shared" si="4"/>
        <v>4647429982.9611988</v>
      </c>
      <c r="U34" s="56">
        <f t="shared" si="5"/>
        <v>4169640258.1811996</v>
      </c>
      <c r="V34" s="46">
        <v>25</v>
      </c>
    </row>
    <row r="35" spans="1:22" ht="18" customHeight="1" x14ac:dyDescent="0.25">
      <c r="A35" s="46">
        <v>26</v>
      </c>
      <c r="B35" s="49" t="s">
        <v>58</v>
      </c>
      <c r="C35" s="57">
        <v>25</v>
      </c>
      <c r="D35" s="51">
        <v>2783528050.2690997</v>
      </c>
      <c r="E35" s="51">
        <v>0</v>
      </c>
      <c r="F35" s="52">
        <f t="shared" si="0"/>
        <v>2783528050.2690997</v>
      </c>
      <c r="G35" s="53">
        <v>48924779.93</v>
      </c>
      <c r="H35" s="53">
        <v>217827441</v>
      </c>
      <c r="I35" s="51">
        <f>687333612.18-H35-G35</f>
        <v>420581391.24999994</v>
      </c>
      <c r="J35" s="54">
        <f t="shared" si="1"/>
        <v>2096194438.0890999</v>
      </c>
      <c r="K35" s="54">
        <v>812161111.60000002</v>
      </c>
      <c r="L35" s="52">
        <v>406080555.80000001</v>
      </c>
      <c r="M35" s="52">
        <v>23046158.170000002</v>
      </c>
      <c r="N35" s="52">
        <v>111456439.6389</v>
      </c>
      <c r="O35" s="52">
        <f t="shared" ref="O35:O37" si="11">N35/2</f>
        <v>55728219.819449998</v>
      </c>
      <c r="P35" s="52">
        <f t="shared" si="2"/>
        <v>55728219.819449998</v>
      </c>
      <c r="Q35" s="54">
        <v>1783807192.78</v>
      </c>
      <c r="R35" s="55">
        <v>0</v>
      </c>
      <c r="S35" s="55">
        <f t="shared" si="3"/>
        <v>1783807192.78</v>
      </c>
      <c r="T35" s="55">
        <f t="shared" si="4"/>
        <v>5920079508.2579994</v>
      </c>
      <c r="U35" s="56">
        <f t="shared" si="5"/>
        <v>5177017676.2585497</v>
      </c>
      <c r="V35" s="46">
        <v>26</v>
      </c>
    </row>
    <row r="36" spans="1:22" ht="18" customHeight="1" x14ac:dyDescent="0.25">
      <c r="A36" s="46">
        <v>27</v>
      </c>
      <c r="B36" s="49" t="s">
        <v>59</v>
      </c>
      <c r="C36" s="57">
        <v>20</v>
      </c>
      <c r="D36" s="51">
        <v>2183182967.7579002</v>
      </c>
      <c r="E36" s="51">
        <v>0</v>
      </c>
      <c r="F36" s="52">
        <f t="shared" si="0"/>
        <v>2183182967.7579002</v>
      </c>
      <c r="G36" s="53">
        <v>158669498.15000001</v>
      </c>
      <c r="H36" s="53">
        <v>0</v>
      </c>
      <c r="I36" s="51">
        <f>1603935535.46-H36-G36</f>
        <v>1445266037.3099999</v>
      </c>
      <c r="J36" s="54">
        <f t="shared" si="1"/>
        <v>579247432.2979002</v>
      </c>
      <c r="K36" s="54">
        <v>636996024.79999995</v>
      </c>
      <c r="L36" s="52">
        <v>318498012.39999998</v>
      </c>
      <c r="M36" s="52">
        <v>18075614.489999998</v>
      </c>
      <c r="N36" s="52">
        <v>87417764.891000003</v>
      </c>
      <c r="O36" s="52">
        <v>0</v>
      </c>
      <c r="P36" s="52">
        <f t="shared" si="2"/>
        <v>87417764.891000003</v>
      </c>
      <c r="Q36" s="54">
        <v>1816911729.8800001</v>
      </c>
      <c r="R36" s="55">
        <v>0</v>
      </c>
      <c r="S36" s="55">
        <f t="shared" si="3"/>
        <v>1816911729.8800001</v>
      </c>
      <c r="T36" s="55">
        <f t="shared" si="4"/>
        <v>5061082114.2189007</v>
      </c>
      <c r="U36" s="56">
        <f t="shared" si="5"/>
        <v>3457146578.7589002</v>
      </c>
      <c r="V36" s="46">
        <v>27</v>
      </c>
    </row>
    <row r="37" spans="1:22" ht="18" customHeight="1" x14ac:dyDescent="0.25">
      <c r="A37" s="46">
        <v>28</v>
      </c>
      <c r="B37" s="49" t="s">
        <v>60</v>
      </c>
      <c r="C37" s="57">
        <v>18</v>
      </c>
      <c r="D37" s="51">
        <v>2187508097.7191</v>
      </c>
      <c r="E37" s="51">
        <v>587836784.64999998</v>
      </c>
      <c r="F37" s="52">
        <f t="shared" si="0"/>
        <v>2775344882.3691001</v>
      </c>
      <c r="G37" s="53">
        <v>104099491.91</v>
      </c>
      <c r="H37" s="53">
        <v>951959613.62</v>
      </c>
      <c r="I37" s="51">
        <f>1539935539.61-H37-G37</f>
        <v>483876434.07999992</v>
      </c>
      <c r="J37" s="54">
        <f t="shared" si="1"/>
        <v>1235409342.7591004</v>
      </c>
      <c r="K37" s="54">
        <v>638257986.34000003</v>
      </c>
      <c r="L37" s="52">
        <v>319128993.17000002</v>
      </c>
      <c r="M37" s="52">
        <v>28853430.34</v>
      </c>
      <c r="N37" s="52">
        <v>87590949.273699999</v>
      </c>
      <c r="O37" s="52">
        <f t="shared" si="11"/>
        <v>43795474.636849999</v>
      </c>
      <c r="P37" s="52">
        <f t="shared" si="2"/>
        <v>43795474.636849999</v>
      </c>
      <c r="Q37" s="54">
        <v>1704242192.8099999</v>
      </c>
      <c r="R37" s="55">
        <v>0</v>
      </c>
      <c r="S37" s="55">
        <f t="shared" si="3"/>
        <v>1704242192.8099999</v>
      </c>
      <c r="T37" s="55">
        <f t="shared" si="4"/>
        <v>5553418434.3028011</v>
      </c>
      <c r="U37" s="56">
        <f t="shared" si="5"/>
        <v>3969687420.0559506</v>
      </c>
      <c r="V37" s="46">
        <v>28</v>
      </c>
    </row>
    <row r="38" spans="1:22" ht="18" customHeight="1" x14ac:dyDescent="0.25">
      <c r="A38" s="46">
        <v>29</v>
      </c>
      <c r="B38" s="49" t="s">
        <v>61</v>
      </c>
      <c r="C38" s="57">
        <v>30</v>
      </c>
      <c r="D38" s="51">
        <v>2143160884.4859002</v>
      </c>
      <c r="E38" s="51">
        <v>0</v>
      </c>
      <c r="F38" s="52">
        <f t="shared" si="0"/>
        <v>2143160884.4859002</v>
      </c>
      <c r="G38" s="53">
        <v>207012696.75</v>
      </c>
      <c r="H38" s="53">
        <v>0</v>
      </c>
      <c r="I38" s="51">
        <f>1837744937.62-H38-G38</f>
        <v>1630732240.8699999</v>
      </c>
      <c r="J38" s="54">
        <f t="shared" si="1"/>
        <v>305415946.86590028</v>
      </c>
      <c r="K38" s="54">
        <v>625318622.58000004</v>
      </c>
      <c r="L38" s="52">
        <v>312659311.29000002</v>
      </c>
      <c r="M38" s="52">
        <v>17744252.550000001</v>
      </c>
      <c r="N38" s="52">
        <v>85815223.501800001</v>
      </c>
      <c r="O38" s="52">
        <v>0</v>
      </c>
      <c r="P38" s="52">
        <f t="shared" si="2"/>
        <v>85815223.501800001</v>
      </c>
      <c r="Q38" s="54">
        <v>1657297742.8499999</v>
      </c>
      <c r="R38" s="55">
        <v>0</v>
      </c>
      <c r="S38" s="55">
        <f t="shared" si="3"/>
        <v>1657297742.8499999</v>
      </c>
      <c r="T38" s="55">
        <f t="shared" si="4"/>
        <v>4841996037.2577</v>
      </c>
      <c r="U38" s="56">
        <f t="shared" si="5"/>
        <v>3004251099.6377001</v>
      </c>
      <c r="V38" s="46">
        <v>29</v>
      </c>
    </row>
    <row r="39" spans="1:22" ht="18" customHeight="1" x14ac:dyDescent="0.25">
      <c r="A39" s="46">
        <v>30</v>
      </c>
      <c r="B39" s="49" t="s">
        <v>62</v>
      </c>
      <c r="C39" s="57">
        <v>33</v>
      </c>
      <c r="D39" s="51">
        <v>2635666799.4825997</v>
      </c>
      <c r="E39" s="51">
        <v>0</v>
      </c>
      <c r="F39" s="52">
        <f t="shared" si="0"/>
        <v>2635666799.4825997</v>
      </c>
      <c r="G39" s="53">
        <v>449026038.25</v>
      </c>
      <c r="H39" s="53">
        <v>0</v>
      </c>
      <c r="I39" s="51">
        <f>2203142570.7-H39-G39</f>
        <v>1754116532.4499998</v>
      </c>
      <c r="J39" s="54">
        <f t="shared" si="1"/>
        <v>432524228.78259993</v>
      </c>
      <c r="K39" s="54">
        <v>769019042.51999998</v>
      </c>
      <c r="L39" s="52">
        <v>384509521.25999999</v>
      </c>
      <c r="M39" s="52">
        <v>21821944.25</v>
      </c>
      <c r="N39" s="52">
        <v>105535863.9249</v>
      </c>
      <c r="O39" s="52">
        <v>0</v>
      </c>
      <c r="P39" s="52">
        <f t="shared" si="2"/>
        <v>105535863.9249</v>
      </c>
      <c r="Q39" s="54">
        <v>3279983293.5100002</v>
      </c>
      <c r="R39" s="55">
        <v>0</v>
      </c>
      <c r="S39" s="55">
        <f t="shared" si="3"/>
        <v>3279983293.5100002</v>
      </c>
      <c r="T39" s="55">
        <f t="shared" si="4"/>
        <v>7196536464.9475002</v>
      </c>
      <c r="U39" s="56">
        <f t="shared" si="5"/>
        <v>4993393894.2475004</v>
      </c>
      <c r="V39" s="46">
        <v>30</v>
      </c>
    </row>
    <row r="40" spans="1:22" ht="18" customHeight="1" x14ac:dyDescent="0.25">
      <c r="A40" s="46">
        <v>31</v>
      </c>
      <c r="B40" s="49" t="s">
        <v>63</v>
      </c>
      <c r="C40" s="57">
        <v>17</v>
      </c>
      <c r="D40" s="51">
        <v>2453892645.7855</v>
      </c>
      <c r="E40" s="51">
        <v>0</v>
      </c>
      <c r="F40" s="52">
        <f t="shared" si="0"/>
        <v>2453892645.7855</v>
      </c>
      <c r="G40" s="53">
        <v>59905167.450000003</v>
      </c>
      <c r="H40" s="53">
        <v>1031399422.965</v>
      </c>
      <c r="I40" s="51">
        <f>1790883744.53-H40-G40</f>
        <v>699579154.11499989</v>
      </c>
      <c r="J40" s="54">
        <f t="shared" si="1"/>
        <v>663008901.2555002</v>
      </c>
      <c r="K40" s="54">
        <v>715982071.27999997</v>
      </c>
      <c r="L40" s="52">
        <v>357991035.63999999</v>
      </c>
      <c r="M40" s="52">
        <v>20316949.210000001</v>
      </c>
      <c r="N40" s="52">
        <v>98257367.131000012</v>
      </c>
      <c r="O40" s="52">
        <f t="shared" ref="O40" si="12">N40/2</f>
        <v>49128683.565500006</v>
      </c>
      <c r="P40" s="52">
        <f t="shared" si="2"/>
        <v>49128683.565500006</v>
      </c>
      <c r="Q40" s="54">
        <v>1664062441.24</v>
      </c>
      <c r="R40" s="55">
        <v>0</v>
      </c>
      <c r="S40" s="55">
        <f t="shared" si="3"/>
        <v>1664062441.24</v>
      </c>
      <c r="T40" s="55">
        <f t="shared" si="4"/>
        <v>5310502510.2865</v>
      </c>
      <c r="U40" s="56">
        <f t="shared" si="5"/>
        <v>3470490082.191</v>
      </c>
      <c r="V40" s="46">
        <v>31</v>
      </c>
    </row>
    <row r="41" spans="1:22" ht="18" customHeight="1" x14ac:dyDescent="0.25">
      <c r="A41" s="46">
        <v>32</v>
      </c>
      <c r="B41" s="49" t="s">
        <v>64</v>
      </c>
      <c r="C41" s="57">
        <v>23</v>
      </c>
      <c r="D41" s="51">
        <v>2534290454.7405</v>
      </c>
      <c r="E41" s="51">
        <v>3507202899.3600001</v>
      </c>
      <c r="F41" s="52">
        <f t="shared" si="0"/>
        <v>6041493354.1005001</v>
      </c>
      <c r="G41" s="53">
        <v>292520943.47000003</v>
      </c>
      <c r="H41" s="53">
        <v>0</v>
      </c>
      <c r="I41" s="51">
        <f>971488798.69-H41-G41</f>
        <v>678967855.22000003</v>
      </c>
      <c r="J41" s="54">
        <f t="shared" si="1"/>
        <v>5070004555.4104996</v>
      </c>
      <c r="K41" s="54">
        <v>739440061.41999996</v>
      </c>
      <c r="L41" s="52">
        <v>369720030.70999998</v>
      </c>
      <c r="M41" s="52">
        <v>82190919.450000003</v>
      </c>
      <c r="N41" s="52">
        <v>101476610.2568</v>
      </c>
      <c r="O41" s="52">
        <f t="shared" ref="O41" si="13">N41/2</f>
        <v>50738305.128399998</v>
      </c>
      <c r="P41" s="52">
        <f t="shared" si="2"/>
        <v>50738305.128399998</v>
      </c>
      <c r="Q41" s="54">
        <v>3920939157.9000001</v>
      </c>
      <c r="R41" s="55">
        <v>0</v>
      </c>
      <c r="S41" s="55">
        <f t="shared" si="3"/>
        <v>3920939157.9000001</v>
      </c>
      <c r="T41" s="55">
        <f t="shared" si="4"/>
        <v>11255260133.837299</v>
      </c>
      <c r="U41" s="56">
        <f t="shared" si="5"/>
        <v>10233033030.0189</v>
      </c>
      <c r="V41" s="46">
        <v>32</v>
      </c>
    </row>
    <row r="42" spans="1:22" ht="18" customHeight="1" x14ac:dyDescent="0.25">
      <c r="A42" s="46">
        <v>33</v>
      </c>
      <c r="B42" s="49" t="s">
        <v>65</v>
      </c>
      <c r="C42" s="57">
        <v>23</v>
      </c>
      <c r="D42" s="51">
        <v>2589814774.9681001</v>
      </c>
      <c r="E42" s="51">
        <v>0</v>
      </c>
      <c r="F42" s="52">
        <f t="shared" si="0"/>
        <v>2589814774.9681001</v>
      </c>
      <c r="G42" s="53">
        <v>68150704.620000005</v>
      </c>
      <c r="H42" s="53">
        <v>0</v>
      </c>
      <c r="I42" s="51">
        <f>985115102.2-H42-G42</f>
        <v>916964397.58000004</v>
      </c>
      <c r="J42" s="54">
        <f t="shared" si="1"/>
        <v>1604699672.7681003</v>
      </c>
      <c r="K42" s="54">
        <v>755640614.53999996</v>
      </c>
      <c r="L42" s="52">
        <v>377820307.26999998</v>
      </c>
      <c r="M42" s="52">
        <v>21442313.440000001</v>
      </c>
      <c r="N42" s="52">
        <v>103699883.3598</v>
      </c>
      <c r="O42" s="52">
        <v>0</v>
      </c>
      <c r="P42" s="52">
        <f t="shared" si="2"/>
        <v>103699883.3598</v>
      </c>
      <c r="Q42" s="54">
        <v>1811191854.96</v>
      </c>
      <c r="R42" s="55">
        <v>0</v>
      </c>
      <c r="S42" s="55">
        <f t="shared" si="3"/>
        <v>1811191854.96</v>
      </c>
      <c r="T42" s="55">
        <f t="shared" si="4"/>
        <v>5659609748.5379</v>
      </c>
      <c r="U42" s="56">
        <f t="shared" si="5"/>
        <v>4674494646.3379002</v>
      </c>
      <c r="V42" s="46">
        <v>33</v>
      </c>
    </row>
    <row r="43" spans="1:22" ht="18" customHeight="1" x14ac:dyDescent="0.25">
      <c r="A43" s="46">
        <v>34</v>
      </c>
      <c r="B43" s="49" t="s">
        <v>66</v>
      </c>
      <c r="C43" s="57">
        <v>16</v>
      </c>
      <c r="D43" s="51">
        <v>2263606318.1539001</v>
      </c>
      <c r="E43" s="51">
        <v>0</v>
      </c>
      <c r="F43" s="52">
        <f t="shared" si="0"/>
        <v>2263606318.1539001</v>
      </c>
      <c r="G43" s="53">
        <v>85537314.109999999</v>
      </c>
      <c r="H43" s="53">
        <v>0</v>
      </c>
      <c r="I43" s="51">
        <f>1184197735.01-H43-G43</f>
        <v>1098660420.9000001</v>
      </c>
      <c r="J43" s="54">
        <f t="shared" si="1"/>
        <v>1079408583.1438999</v>
      </c>
      <c r="K43" s="54">
        <v>660461468.46000004</v>
      </c>
      <c r="L43" s="52">
        <v>330230734.23000002</v>
      </c>
      <c r="M43" s="52">
        <v>18741477.82</v>
      </c>
      <c r="N43" s="52">
        <v>90638030.7324</v>
      </c>
      <c r="O43" s="52">
        <v>0</v>
      </c>
      <c r="P43" s="52">
        <f t="shared" si="2"/>
        <v>90638030.7324</v>
      </c>
      <c r="Q43" s="54">
        <v>1552914689.0699999</v>
      </c>
      <c r="R43" s="55">
        <v>0</v>
      </c>
      <c r="S43" s="55">
        <f t="shared" si="3"/>
        <v>1552914689.0699999</v>
      </c>
      <c r="T43" s="55">
        <f t="shared" si="4"/>
        <v>4916592718.4663</v>
      </c>
      <c r="U43" s="56">
        <f t="shared" si="5"/>
        <v>3732394983.4562998</v>
      </c>
      <c r="V43" s="46">
        <v>34</v>
      </c>
    </row>
    <row r="44" spans="1:22" ht="18" customHeight="1" x14ac:dyDescent="0.25">
      <c r="A44" s="46">
        <v>35</v>
      </c>
      <c r="B44" s="49" t="s">
        <v>67</v>
      </c>
      <c r="C44" s="57">
        <v>17</v>
      </c>
      <c r="D44" s="51">
        <v>2333487536.0299997</v>
      </c>
      <c r="E44" s="51">
        <v>0</v>
      </c>
      <c r="F44" s="52">
        <f t="shared" si="0"/>
        <v>2333487536.0299997</v>
      </c>
      <c r="G44" s="53">
        <v>54061838.009999998</v>
      </c>
      <c r="H44" s="53">
        <v>0</v>
      </c>
      <c r="I44" s="51">
        <f>888965515.81-H44-G44</f>
        <v>834903677.79999995</v>
      </c>
      <c r="J44" s="54">
        <f t="shared" si="1"/>
        <v>1444522020.2199996</v>
      </c>
      <c r="K44" s="54">
        <v>680850990.79999995</v>
      </c>
      <c r="L44" s="52">
        <v>340425495.39999998</v>
      </c>
      <c r="M44" s="52">
        <v>19320057.800000001</v>
      </c>
      <c r="N44" s="52">
        <v>93436174.527600005</v>
      </c>
      <c r="O44" s="52">
        <v>0</v>
      </c>
      <c r="P44" s="52">
        <f t="shared" si="2"/>
        <v>93436174.527600005</v>
      </c>
      <c r="Q44" s="54">
        <v>1592234143.72</v>
      </c>
      <c r="R44" s="55">
        <v>0</v>
      </c>
      <c r="S44" s="55">
        <f t="shared" si="3"/>
        <v>1592234143.72</v>
      </c>
      <c r="T44" s="55">
        <f t="shared" si="4"/>
        <v>5059754398.2776003</v>
      </c>
      <c r="U44" s="56">
        <f t="shared" si="5"/>
        <v>4170788882.4675999</v>
      </c>
      <c r="V44" s="46">
        <v>35</v>
      </c>
    </row>
    <row r="45" spans="1:22" ht="18" customHeight="1" thickBot="1" x14ac:dyDescent="0.3">
      <c r="A45" s="46">
        <v>36</v>
      </c>
      <c r="B45" s="49" t="s">
        <v>68</v>
      </c>
      <c r="C45" s="57">
        <v>14</v>
      </c>
      <c r="D45" s="51">
        <v>2338457183.1159</v>
      </c>
      <c r="E45" s="51">
        <v>0</v>
      </c>
      <c r="F45" s="52">
        <f t="shared" si="0"/>
        <v>2338457183.1159</v>
      </c>
      <c r="G45" s="53">
        <v>48419095.789999999</v>
      </c>
      <c r="H45" s="53">
        <v>488822936.86000001</v>
      </c>
      <c r="I45" s="51">
        <f>1229905076.96-H45-G45</f>
        <v>692663044.31000006</v>
      </c>
      <c r="J45" s="54">
        <f t="shared" si="1"/>
        <v>1108552106.1559</v>
      </c>
      <c r="K45" s="54">
        <v>682301004.60000002</v>
      </c>
      <c r="L45" s="52">
        <v>341150502.30000001</v>
      </c>
      <c r="M45" s="52">
        <v>19361203.879999999</v>
      </c>
      <c r="N45" s="52">
        <v>93635166.296399996</v>
      </c>
      <c r="O45" s="52">
        <v>0</v>
      </c>
      <c r="P45" s="52">
        <f t="shared" si="2"/>
        <v>93635166.296399996</v>
      </c>
      <c r="Q45" s="54">
        <v>1626591492.73</v>
      </c>
      <c r="R45" s="55">
        <v>0</v>
      </c>
      <c r="S45" s="55">
        <f t="shared" si="3"/>
        <v>1626591492.73</v>
      </c>
      <c r="T45" s="55">
        <f t="shared" si="4"/>
        <v>5101496552.9223003</v>
      </c>
      <c r="U45" s="56">
        <f t="shared" si="5"/>
        <v>3871591475.9622998</v>
      </c>
      <c r="V45" s="46">
        <v>36</v>
      </c>
    </row>
    <row r="46" spans="1:22" ht="18" customHeight="1" thickTop="1" thickBot="1" x14ac:dyDescent="0.35">
      <c r="A46" s="46"/>
      <c r="B46" s="99" t="s">
        <v>108</v>
      </c>
      <c r="C46" s="100"/>
      <c r="D46" s="59">
        <f t="shared" ref="D46:N46" si="14">SUM(D10:D45)</f>
        <v>89110064829.104401</v>
      </c>
      <c r="E46" s="59">
        <f t="shared" si="14"/>
        <v>21117713542.389999</v>
      </c>
      <c r="F46" s="59">
        <f t="shared" si="14"/>
        <v>110227778371.49443</v>
      </c>
      <c r="G46" s="59">
        <f t="shared" si="14"/>
        <v>7658363731.9799995</v>
      </c>
      <c r="H46" s="59">
        <f t="shared" si="14"/>
        <v>8813243618.1949997</v>
      </c>
      <c r="I46" s="59">
        <f t="shared" si="14"/>
        <v>26914507913.785007</v>
      </c>
      <c r="J46" s="59">
        <f t="shared" si="14"/>
        <v>66841663107.534393</v>
      </c>
      <c r="K46" s="59">
        <f t="shared" si="14"/>
        <v>25999999999.999996</v>
      </c>
      <c r="L46" s="59">
        <f t="shared" si="14"/>
        <v>12999999999.999998</v>
      </c>
      <c r="M46" s="59">
        <f t="shared" si="14"/>
        <v>1117703488.49</v>
      </c>
      <c r="N46" s="59">
        <f t="shared" si="14"/>
        <v>3568094297.0444999</v>
      </c>
      <c r="O46" s="59">
        <f t="shared" ref="O46:P46" si="15">SUM(O10:O45)</f>
        <v>716676566.71649992</v>
      </c>
      <c r="P46" s="59">
        <f t="shared" si="15"/>
        <v>2851417730.3279991</v>
      </c>
      <c r="Q46" s="59">
        <f>SUM(Q10:Q45)</f>
        <v>77422074635.910004</v>
      </c>
      <c r="R46" s="59">
        <f>SUM(R10:R45)</f>
        <v>1000000000</v>
      </c>
      <c r="S46" s="59">
        <f>SUM(S10:S45)</f>
        <v>76422074635.910004</v>
      </c>
      <c r="T46" s="59">
        <f>SUM(T10:T45)</f>
        <v>231335650792.93893</v>
      </c>
      <c r="U46" s="59">
        <f>SUM(U10:U45)</f>
        <v>186232858962.26236</v>
      </c>
    </row>
    <row r="47" spans="1:22" ht="13.8" thickTop="1" x14ac:dyDescent="0.25">
      <c r="I47" s="60"/>
      <c r="J47" s="60"/>
      <c r="K47" s="60"/>
      <c r="L47" s="61"/>
      <c r="Q47" s="62"/>
      <c r="R47" s="62"/>
      <c r="S47" s="62"/>
    </row>
    <row r="48" spans="1:22" x14ac:dyDescent="0.25">
      <c r="G48" s="61"/>
      <c r="I48" s="61"/>
      <c r="J48" s="60"/>
      <c r="K48" s="60"/>
      <c r="S48" s="63"/>
      <c r="U48" s="61"/>
    </row>
    <row r="49" spans="1:21" x14ac:dyDescent="0.25">
      <c r="C49" s="64"/>
      <c r="U49" s="61"/>
    </row>
    <row r="50" spans="1:21" x14ac:dyDescent="0.25">
      <c r="C50" s="64"/>
      <c r="M50" s="61"/>
    </row>
    <row r="51" spans="1:21" x14ac:dyDescent="0.25">
      <c r="N51" s="61"/>
      <c r="O51" s="61"/>
      <c r="P51" s="61"/>
    </row>
    <row r="52" spans="1:21" x14ac:dyDescent="0.25">
      <c r="N52" s="63"/>
      <c r="O52" s="63"/>
      <c r="P52" s="63"/>
    </row>
    <row r="53" spans="1:21" ht="21" x14ac:dyDescent="0.4">
      <c r="A53" s="9" t="s">
        <v>99</v>
      </c>
      <c r="N53" s="61"/>
      <c r="O53" s="61"/>
      <c r="P53" s="61"/>
    </row>
  </sheetData>
  <mergeCells count="24">
    <mergeCell ref="B46:C46"/>
    <mergeCell ref="K7:K8"/>
    <mergeCell ref="G7:I7"/>
    <mergeCell ref="F7:F8"/>
    <mergeCell ref="E7:E8"/>
    <mergeCell ref="D7:D8"/>
    <mergeCell ref="C7:C8"/>
    <mergeCell ref="B7:B8"/>
    <mergeCell ref="A1:V1"/>
    <mergeCell ref="A4:U4"/>
    <mergeCell ref="D5:U5"/>
    <mergeCell ref="S7:S8"/>
    <mergeCell ref="A7:A8"/>
    <mergeCell ref="R7:R8"/>
    <mergeCell ref="J7:J8"/>
    <mergeCell ref="M7:M8"/>
    <mergeCell ref="N7:N8"/>
    <mergeCell ref="Q7:Q8"/>
    <mergeCell ref="T7:T8"/>
    <mergeCell ref="U7:U8"/>
    <mergeCell ref="V7:V8"/>
    <mergeCell ref="L7:L8"/>
    <mergeCell ref="O7:O8"/>
    <mergeCell ref="P7:P8"/>
  </mergeCells>
  <phoneticPr fontId="3" type="noConversion"/>
  <pageMargins left="0.4" right="0.34" top="0.45" bottom="0.17" header="0.51" footer="0.17"/>
  <pageSetup scale="4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49"/>
  <sheetViews>
    <sheetView tabSelected="1" workbookViewId="0">
      <pane xSplit="2" ySplit="6" topLeftCell="H40" activePane="bottomRight" state="frozen"/>
      <selection pane="topRight" activeCell="C1" sqref="C1"/>
      <selection pane="bottomLeft" activeCell="A7" sqref="A7"/>
      <selection pane="bottomRight" activeCell="M46" sqref="M46"/>
    </sheetView>
  </sheetViews>
  <sheetFormatPr defaultRowHeight="13.2" x14ac:dyDescent="0.25"/>
  <cols>
    <col min="2" max="2" width="24.109375" customWidth="1"/>
    <col min="4" max="4" width="24.88671875" bestFit="1" customWidth="1"/>
    <col min="5" max="5" width="26" customWidth="1"/>
    <col min="6" max="6" width="24.88671875" bestFit="1" customWidth="1"/>
    <col min="7" max="7" width="26" customWidth="1"/>
    <col min="8" max="8" width="23.44140625" bestFit="1" customWidth="1"/>
    <col min="9" max="11" width="23.44140625" customWidth="1"/>
    <col min="12" max="12" width="24.88671875" bestFit="1" customWidth="1"/>
    <col min="13" max="13" width="26.109375" customWidth="1"/>
    <col min="14" max="14" width="8.44140625" customWidth="1"/>
    <col min="15" max="15" width="14.5546875" bestFit="1" customWidth="1"/>
    <col min="22" max="22" width="16.6640625" bestFit="1" customWidth="1"/>
    <col min="23" max="23" width="15.6640625" bestFit="1" customWidth="1"/>
    <col min="24" max="24" width="16.6640625" bestFit="1" customWidth="1"/>
  </cols>
  <sheetData>
    <row r="1" spans="1:24" ht="30" customHeight="1" x14ac:dyDescent="0.45">
      <c r="A1" s="104" t="s">
        <v>110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24" ht="24.6" x14ac:dyDescent="0.4">
      <c r="A2" s="105" t="s">
        <v>119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7"/>
    </row>
    <row r="3" spans="1:24" ht="49.5" customHeight="1" x14ac:dyDescent="0.35">
      <c r="A3" s="108" t="s">
        <v>114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24" ht="54" x14ac:dyDescent="0.35">
      <c r="A4" s="82"/>
      <c r="B4" s="65">
        <v>1</v>
      </c>
      <c r="C4" s="65">
        <v>2</v>
      </c>
      <c r="D4" s="65">
        <v>3</v>
      </c>
      <c r="E4" s="65">
        <v>4</v>
      </c>
      <c r="F4" s="65">
        <v>5</v>
      </c>
      <c r="G4" s="65">
        <v>6</v>
      </c>
      <c r="H4" s="65">
        <v>7</v>
      </c>
      <c r="I4" s="65">
        <v>8</v>
      </c>
      <c r="J4" s="65">
        <v>9</v>
      </c>
      <c r="K4" s="65">
        <v>10</v>
      </c>
      <c r="L4" s="65">
        <v>11</v>
      </c>
      <c r="M4" s="81" t="s">
        <v>126</v>
      </c>
      <c r="N4" s="66"/>
    </row>
    <row r="5" spans="1:24" ht="71.25" customHeight="1" x14ac:dyDescent="0.35">
      <c r="A5" s="67" t="s">
        <v>0</v>
      </c>
      <c r="B5" s="67" t="s">
        <v>19</v>
      </c>
      <c r="C5" s="68" t="s">
        <v>1</v>
      </c>
      <c r="D5" s="69" t="s">
        <v>7</v>
      </c>
      <c r="E5" s="70" t="s">
        <v>106</v>
      </c>
      <c r="F5" s="71" t="s">
        <v>103</v>
      </c>
      <c r="G5" s="72" t="s">
        <v>102</v>
      </c>
      <c r="H5" s="73" t="s">
        <v>111</v>
      </c>
      <c r="I5" s="73" t="s">
        <v>125</v>
      </c>
      <c r="J5" s="1" t="s">
        <v>120</v>
      </c>
      <c r="K5" s="1" t="s">
        <v>121</v>
      </c>
      <c r="L5" s="74" t="s">
        <v>10</v>
      </c>
      <c r="M5" s="74" t="s">
        <v>13</v>
      </c>
      <c r="N5" s="67" t="s">
        <v>0</v>
      </c>
    </row>
    <row r="6" spans="1:24" ht="18" x14ac:dyDescent="0.35">
      <c r="A6" s="75"/>
      <c r="B6" s="75"/>
      <c r="C6" s="75"/>
      <c r="D6" s="76" t="s">
        <v>89</v>
      </c>
      <c r="E6" s="76" t="s">
        <v>89</v>
      </c>
      <c r="F6" s="76" t="s">
        <v>89</v>
      </c>
      <c r="G6" s="76" t="s">
        <v>89</v>
      </c>
      <c r="H6" s="76" t="s">
        <v>89</v>
      </c>
      <c r="I6" s="76" t="s">
        <v>89</v>
      </c>
      <c r="J6" s="76" t="s">
        <v>89</v>
      </c>
      <c r="K6" s="76" t="s">
        <v>89</v>
      </c>
      <c r="L6" s="76" t="s">
        <v>89</v>
      </c>
      <c r="M6" s="76" t="s">
        <v>89</v>
      </c>
      <c r="N6" s="75"/>
    </row>
    <row r="7" spans="1:24" ht="18" x14ac:dyDescent="0.35">
      <c r="A7" s="77">
        <v>1</v>
      </c>
      <c r="B7" s="75" t="s">
        <v>33</v>
      </c>
      <c r="C7" s="77">
        <v>17</v>
      </c>
      <c r="D7" s="75">
        <v>1422756596.9299002</v>
      </c>
      <c r="E7" s="75">
        <v>-990419.48990000004</v>
      </c>
      <c r="F7" s="75">
        <v>415123382.4206</v>
      </c>
      <c r="G7" s="75">
        <v>207561691.2103</v>
      </c>
      <c r="H7" s="75">
        <v>11779681.385500001</v>
      </c>
      <c r="I7" s="75">
        <v>61716640.558899991</v>
      </c>
      <c r="J7" s="75">
        <f>I7/2</f>
        <v>30858320.279449996</v>
      </c>
      <c r="K7" s="75">
        <f>I7-J7</f>
        <v>30858320.279449996</v>
      </c>
      <c r="L7" s="75">
        <v>938131940.89989996</v>
      </c>
      <c r="M7" s="75">
        <f>D7+E7+F7+G7+H7+K7+L7</f>
        <v>3025221193.6357498</v>
      </c>
      <c r="N7" s="78">
        <v>1</v>
      </c>
    </row>
    <row r="8" spans="1:24" ht="18" x14ac:dyDescent="0.35">
      <c r="A8" s="77">
        <v>2</v>
      </c>
      <c r="B8" s="75" t="s">
        <v>34</v>
      </c>
      <c r="C8" s="77">
        <v>21</v>
      </c>
      <c r="D8" s="75">
        <v>1794603248.1899998</v>
      </c>
      <c r="E8" s="75">
        <v>-1223459.3700000001</v>
      </c>
      <c r="F8" s="75">
        <v>523618567.00999999</v>
      </c>
      <c r="G8" s="75">
        <v>261809283.505</v>
      </c>
      <c r="H8" s="75">
        <v>14858377.408199999</v>
      </c>
      <c r="I8" s="75">
        <v>77846684.283700004</v>
      </c>
      <c r="J8" s="75"/>
      <c r="K8" s="75">
        <f t="shared" ref="K8:K43" si="0">I8-J8</f>
        <v>77846684.283700004</v>
      </c>
      <c r="L8" s="75">
        <v>1129068755.4581001</v>
      </c>
      <c r="M8" s="75">
        <f t="shared" ref="M8:M43" si="1">D8+E8+F8+G8+H8+K8+L8</f>
        <v>3800581456.4849997</v>
      </c>
      <c r="N8" s="78">
        <v>2</v>
      </c>
    </row>
    <row r="9" spans="1:24" ht="18" x14ac:dyDescent="0.35">
      <c r="A9" s="77">
        <v>3</v>
      </c>
      <c r="B9" s="75" t="s">
        <v>35</v>
      </c>
      <c r="C9" s="77">
        <v>31</v>
      </c>
      <c r="D9" s="75">
        <v>2390306070.7599001</v>
      </c>
      <c r="E9" s="75">
        <v>-1806059.0699</v>
      </c>
      <c r="F9" s="75">
        <v>697429162.00119996</v>
      </c>
      <c r="G9" s="75">
        <v>348714581.00059998</v>
      </c>
      <c r="H9" s="75">
        <v>19790485.588399999</v>
      </c>
      <c r="I9" s="75">
        <v>103687208.98099999</v>
      </c>
      <c r="J9" s="75">
        <f>I9/2</f>
        <v>51843604.490499996</v>
      </c>
      <c r="K9" s="75">
        <f t="shared" si="0"/>
        <v>51843604.490499996</v>
      </c>
      <c r="L9" s="75">
        <v>1565542774.9804001</v>
      </c>
      <c r="M9" s="75">
        <f t="shared" si="1"/>
        <v>5071820619.7511005</v>
      </c>
      <c r="N9" s="78">
        <v>3</v>
      </c>
      <c r="V9" s="4"/>
      <c r="W9" s="4"/>
      <c r="X9" s="3"/>
    </row>
    <row r="10" spans="1:24" ht="18" x14ac:dyDescent="0.35">
      <c r="A10" s="77">
        <v>4</v>
      </c>
      <c r="B10" s="75" t="s">
        <v>36</v>
      </c>
      <c r="C10" s="77">
        <v>21</v>
      </c>
      <c r="D10" s="75">
        <v>1804301474.4001</v>
      </c>
      <c r="E10" s="75">
        <v>-1223459.3700999999</v>
      </c>
      <c r="F10" s="75">
        <v>526448257.26719999</v>
      </c>
      <c r="G10" s="75">
        <v>263224128.6336</v>
      </c>
      <c r="H10" s="75">
        <v>14938673.654899999</v>
      </c>
      <c r="I10" s="75">
        <v>78267376.018900007</v>
      </c>
      <c r="J10" s="75"/>
      <c r="K10" s="75">
        <f t="shared" si="0"/>
        <v>78267376.018900007</v>
      </c>
      <c r="L10" s="75">
        <v>1289447617.0230999</v>
      </c>
      <c r="M10" s="75">
        <f t="shared" si="1"/>
        <v>3975404067.6277003</v>
      </c>
      <c r="N10" s="78">
        <v>4</v>
      </c>
      <c r="V10" s="4"/>
      <c r="W10" s="4"/>
      <c r="X10" s="3"/>
    </row>
    <row r="11" spans="1:24" ht="18" x14ac:dyDescent="0.35">
      <c r="A11" s="77">
        <v>5</v>
      </c>
      <c r="B11" s="75" t="s">
        <v>37</v>
      </c>
      <c r="C11" s="77">
        <v>20</v>
      </c>
      <c r="D11" s="75">
        <v>2048239222.21</v>
      </c>
      <c r="E11" s="75">
        <v>-1165199.3999999999</v>
      </c>
      <c r="F11" s="75">
        <v>597622949.55280006</v>
      </c>
      <c r="G11" s="75">
        <v>298811474.77639997</v>
      </c>
      <c r="H11" s="75">
        <v>16958350.775400002</v>
      </c>
      <c r="I11" s="75">
        <v>88848959.919000015</v>
      </c>
      <c r="J11" s="75"/>
      <c r="K11" s="75">
        <f t="shared" si="0"/>
        <v>88848959.919000015</v>
      </c>
      <c r="L11" s="75">
        <v>1275042831.8331001</v>
      </c>
      <c r="M11" s="75">
        <f t="shared" si="1"/>
        <v>4324358589.6667004</v>
      </c>
      <c r="N11" s="78">
        <v>5</v>
      </c>
      <c r="V11" s="4"/>
      <c r="W11" s="4"/>
      <c r="X11" s="3"/>
    </row>
    <row r="12" spans="1:24" ht="18" x14ac:dyDescent="0.35">
      <c r="A12" s="77">
        <v>6</v>
      </c>
      <c r="B12" s="75" t="s">
        <v>38</v>
      </c>
      <c r="C12" s="77">
        <v>8</v>
      </c>
      <c r="D12" s="75">
        <v>833708335.81999993</v>
      </c>
      <c r="E12" s="75">
        <v>-466079.76</v>
      </c>
      <c r="F12" s="75">
        <v>243254415.461</v>
      </c>
      <c r="G12" s="75">
        <v>121627207.7305</v>
      </c>
      <c r="H12" s="75">
        <v>6902669.4978</v>
      </c>
      <c r="I12" s="75">
        <v>36164778.855099998</v>
      </c>
      <c r="J12" s="75">
        <f>I12/2</f>
        <v>18082389.427549999</v>
      </c>
      <c r="K12" s="75">
        <f t="shared" si="0"/>
        <v>18082389.427549999</v>
      </c>
      <c r="L12" s="75">
        <v>578090283.0187</v>
      </c>
      <c r="M12" s="75">
        <f t="shared" si="1"/>
        <v>1801199221.19555</v>
      </c>
      <c r="N12" s="78">
        <v>6</v>
      </c>
      <c r="V12" s="4"/>
      <c r="W12" s="4"/>
      <c r="X12" s="3"/>
    </row>
    <row r="13" spans="1:24" ht="18" x14ac:dyDescent="0.35">
      <c r="A13" s="77">
        <v>7</v>
      </c>
      <c r="B13" s="75" t="s">
        <v>39</v>
      </c>
      <c r="C13" s="77">
        <v>23</v>
      </c>
      <c r="D13" s="75">
        <v>2228801277.1599998</v>
      </c>
      <c r="E13" s="75">
        <v>-140878477.83000001</v>
      </c>
      <c r="F13" s="75">
        <v>650306262.44780004</v>
      </c>
      <c r="G13" s="75">
        <v>325153131.22390002</v>
      </c>
      <c r="H13" s="75">
        <v>18453310.2665</v>
      </c>
      <c r="I13" s="75">
        <v>96681419.433200002</v>
      </c>
      <c r="J13" s="75">
        <f>I13/2</f>
        <v>48340709.716600001</v>
      </c>
      <c r="K13" s="75">
        <f t="shared" si="0"/>
        <v>48340709.716600001</v>
      </c>
      <c r="L13" s="75">
        <v>1308904927.0699999</v>
      </c>
      <c r="M13" s="75">
        <f t="shared" si="1"/>
        <v>4439081140.0548</v>
      </c>
      <c r="N13" s="78">
        <v>7</v>
      </c>
      <c r="V13" s="4"/>
      <c r="W13" s="4"/>
      <c r="X13" s="3"/>
    </row>
    <row r="14" spans="1:24" ht="18" x14ac:dyDescent="0.35">
      <c r="A14" s="77">
        <v>8</v>
      </c>
      <c r="B14" s="75" t="s">
        <v>40</v>
      </c>
      <c r="C14" s="77">
        <v>27</v>
      </c>
      <c r="D14" s="75">
        <v>2419810268.52</v>
      </c>
      <c r="E14" s="75">
        <v>-1573019.19</v>
      </c>
      <c r="F14" s="75">
        <v>706037719.77479994</v>
      </c>
      <c r="G14" s="75">
        <v>353018859.88739997</v>
      </c>
      <c r="H14" s="75">
        <v>20034764.933499999</v>
      </c>
      <c r="I14" s="75">
        <v>104967048.3936</v>
      </c>
      <c r="J14" s="75"/>
      <c r="K14" s="75">
        <f t="shared" si="0"/>
        <v>104967048.3936</v>
      </c>
      <c r="L14" s="75">
        <v>1469615754.7314</v>
      </c>
      <c r="M14" s="75">
        <f t="shared" si="1"/>
        <v>5071911397.0506992</v>
      </c>
      <c r="N14" s="78">
        <v>8</v>
      </c>
      <c r="V14" s="4"/>
      <c r="W14" s="4"/>
      <c r="X14" s="3"/>
    </row>
    <row r="15" spans="1:24" ht="18" x14ac:dyDescent="0.35">
      <c r="A15" s="77">
        <v>9</v>
      </c>
      <c r="B15" s="75" t="s">
        <v>41</v>
      </c>
      <c r="C15" s="77">
        <v>18</v>
      </c>
      <c r="D15" s="75">
        <v>1559975465.9998999</v>
      </c>
      <c r="E15" s="75">
        <v>-39599945.639899999</v>
      </c>
      <c r="F15" s="75">
        <v>455160280.6444</v>
      </c>
      <c r="G15" s="75">
        <v>227580140.3222</v>
      </c>
      <c r="H15" s="75">
        <v>12915781.9396</v>
      </c>
      <c r="I15" s="75">
        <v>67668950.067200005</v>
      </c>
      <c r="J15" s="75">
        <f>I15/2</f>
        <v>33834475.033600003</v>
      </c>
      <c r="K15" s="75">
        <f t="shared" si="0"/>
        <v>33834475.033600003</v>
      </c>
      <c r="L15" s="75">
        <v>980084098.11319995</v>
      </c>
      <c r="M15" s="75">
        <f t="shared" si="1"/>
        <v>3229950296.4129992</v>
      </c>
      <c r="N15" s="78">
        <v>9</v>
      </c>
      <c r="V15" s="4"/>
      <c r="W15" s="4"/>
      <c r="X15" s="3"/>
    </row>
    <row r="16" spans="1:24" ht="18" x14ac:dyDescent="0.35">
      <c r="A16" s="77">
        <v>10</v>
      </c>
      <c r="B16" s="75" t="s">
        <v>42</v>
      </c>
      <c r="C16" s="77">
        <v>25</v>
      </c>
      <c r="D16" s="75">
        <v>1998884824.9300001</v>
      </c>
      <c r="E16" s="75">
        <v>-1456499.25</v>
      </c>
      <c r="F16" s="75">
        <v>583222619.65439999</v>
      </c>
      <c r="G16" s="75">
        <v>291611309.8272</v>
      </c>
      <c r="H16" s="75">
        <v>16549722.148499999</v>
      </c>
      <c r="I16" s="75">
        <v>86708054.297600001</v>
      </c>
      <c r="J16" s="75">
        <f>I16/2</f>
        <v>43354027.148800001</v>
      </c>
      <c r="K16" s="75">
        <f t="shared" si="0"/>
        <v>43354027.148800001</v>
      </c>
      <c r="L16" s="75">
        <v>1406287748.6472001</v>
      </c>
      <c r="M16" s="75">
        <f t="shared" si="1"/>
        <v>4338453753.1061001</v>
      </c>
      <c r="N16" s="78">
        <v>10</v>
      </c>
      <c r="V16" s="4"/>
      <c r="W16" s="4"/>
      <c r="X16" s="3"/>
    </row>
    <row r="17" spans="1:24" ht="18" x14ac:dyDescent="0.35">
      <c r="A17" s="77">
        <v>11</v>
      </c>
      <c r="B17" s="75" t="s">
        <v>43</v>
      </c>
      <c r="C17" s="77">
        <v>13</v>
      </c>
      <c r="D17" s="75">
        <v>1153969313.4383001</v>
      </c>
      <c r="E17" s="75">
        <v>-43404894.048300005</v>
      </c>
      <c r="F17" s="75">
        <v>336698241.73299998</v>
      </c>
      <c r="G17" s="75">
        <v>168349120.86649999</v>
      </c>
      <c r="H17" s="75">
        <v>9554263.0906000007</v>
      </c>
      <c r="I17" s="75">
        <v>50057128.174100004</v>
      </c>
      <c r="J17" s="75"/>
      <c r="K17" s="75">
        <f t="shared" si="0"/>
        <v>50057128.174100004</v>
      </c>
      <c r="L17" s="75">
        <v>766512269.52520001</v>
      </c>
      <c r="M17" s="75">
        <f t="shared" si="1"/>
        <v>2441735442.7793999</v>
      </c>
      <c r="N17" s="78">
        <v>11</v>
      </c>
      <c r="V17" s="4"/>
      <c r="W17" s="4"/>
      <c r="X17" s="3"/>
    </row>
    <row r="18" spans="1:24" ht="18" x14ac:dyDescent="0.35">
      <c r="A18" s="77">
        <v>12</v>
      </c>
      <c r="B18" s="75" t="s">
        <v>44</v>
      </c>
      <c r="C18" s="77">
        <v>18</v>
      </c>
      <c r="D18" s="75">
        <v>1529417441.73</v>
      </c>
      <c r="E18" s="75">
        <v>-1048679.46</v>
      </c>
      <c r="F18" s="75">
        <v>446244243.68279999</v>
      </c>
      <c r="G18" s="75">
        <v>223122121.8414</v>
      </c>
      <c r="H18" s="75">
        <v>12662777.4617</v>
      </c>
      <c r="I18" s="75">
        <v>66343397.541500002</v>
      </c>
      <c r="J18" s="75">
        <f>I18/2</f>
        <v>33171698.770750001</v>
      </c>
      <c r="K18" s="75">
        <f t="shared" si="0"/>
        <v>33171698.770750001</v>
      </c>
      <c r="L18" s="75">
        <v>1111037745.3313</v>
      </c>
      <c r="M18" s="75">
        <f t="shared" si="1"/>
        <v>3354607349.3579502</v>
      </c>
      <c r="N18" s="78">
        <v>12</v>
      </c>
      <c r="V18" s="4"/>
      <c r="W18" s="4"/>
      <c r="X18" s="3"/>
    </row>
    <row r="19" spans="1:24" ht="18" x14ac:dyDescent="0.35">
      <c r="A19" s="77">
        <v>13</v>
      </c>
      <c r="B19" s="75" t="s">
        <v>45</v>
      </c>
      <c r="C19" s="77">
        <v>16</v>
      </c>
      <c r="D19" s="75">
        <v>1214412912.0599999</v>
      </c>
      <c r="E19" s="75">
        <v>-932159.52</v>
      </c>
      <c r="F19" s="75">
        <v>354334112.25580001</v>
      </c>
      <c r="G19" s="75">
        <v>177167056.1279</v>
      </c>
      <c r="H19" s="75">
        <v>10054704.5119</v>
      </c>
      <c r="I19" s="75">
        <v>52679063.548500001</v>
      </c>
      <c r="J19" s="75"/>
      <c r="K19" s="75">
        <f t="shared" si="0"/>
        <v>52679063.548500001</v>
      </c>
      <c r="L19" s="75">
        <v>880999361.93190002</v>
      </c>
      <c r="M19" s="75">
        <f t="shared" si="1"/>
        <v>2688715050.9159999</v>
      </c>
      <c r="N19" s="78">
        <v>13</v>
      </c>
      <c r="V19" s="4"/>
      <c r="W19" s="4"/>
      <c r="X19" s="3"/>
    </row>
    <row r="20" spans="1:24" ht="18" x14ac:dyDescent="0.35">
      <c r="A20" s="77">
        <v>14</v>
      </c>
      <c r="B20" s="75" t="s">
        <v>46</v>
      </c>
      <c r="C20" s="77">
        <v>17</v>
      </c>
      <c r="D20" s="75">
        <v>1553910858.6499002</v>
      </c>
      <c r="E20" s="75">
        <v>-990419.48990000004</v>
      </c>
      <c r="F20" s="75">
        <v>453390785.90219998</v>
      </c>
      <c r="G20" s="75">
        <v>226695392.95110002</v>
      </c>
      <c r="H20" s="75">
        <v>12865570.1588</v>
      </c>
      <c r="I20" s="75">
        <v>67405878.230199993</v>
      </c>
      <c r="J20" s="75"/>
      <c r="K20" s="75">
        <f t="shared" si="0"/>
        <v>67405878.230199993</v>
      </c>
      <c r="L20" s="75">
        <v>1021332452.3627</v>
      </c>
      <c r="M20" s="75">
        <f t="shared" si="1"/>
        <v>3334610518.7649999</v>
      </c>
      <c r="N20" s="78">
        <v>14</v>
      </c>
      <c r="V20" s="4"/>
      <c r="W20" s="4"/>
      <c r="X20" s="3"/>
    </row>
    <row r="21" spans="1:24" ht="18" x14ac:dyDescent="0.35">
      <c r="A21" s="77">
        <v>15</v>
      </c>
      <c r="B21" s="75" t="s">
        <v>47</v>
      </c>
      <c r="C21" s="77">
        <v>11</v>
      </c>
      <c r="D21" s="75">
        <v>1064740805.6399</v>
      </c>
      <c r="E21" s="75">
        <v>-54624417.0999</v>
      </c>
      <c r="F21" s="75">
        <v>310663683.15740001</v>
      </c>
      <c r="G21" s="75">
        <v>155331841.57870001</v>
      </c>
      <c r="H21" s="75">
        <v>8815497.6582999993</v>
      </c>
      <c r="I21" s="75">
        <v>46186554.84139999</v>
      </c>
      <c r="J21" s="75"/>
      <c r="K21" s="75">
        <f t="shared" si="0"/>
        <v>46186554.84139999</v>
      </c>
      <c r="L21" s="75">
        <v>724337962.99629998</v>
      </c>
      <c r="M21" s="75">
        <f t="shared" si="1"/>
        <v>2255451928.7721</v>
      </c>
      <c r="N21" s="78">
        <v>15</v>
      </c>
      <c r="V21" s="4"/>
      <c r="W21" s="4"/>
      <c r="X21" s="3"/>
    </row>
    <row r="22" spans="1:24" ht="18" x14ac:dyDescent="0.35">
      <c r="A22" s="77">
        <v>16</v>
      </c>
      <c r="B22" s="75" t="s">
        <v>48</v>
      </c>
      <c r="C22" s="77">
        <v>27</v>
      </c>
      <c r="D22" s="75">
        <v>2082586215.1798999</v>
      </c>
      <c r="E22" s="75">
        <v>-1573019.1899000001</v>
      </c>
      <c r="F22" s="75">
        <v>607644509.04260004</v>
      </c>
      <c r="G22" s="75">
        <v>303822254.52130002</v>
      </c>
      <c r="H22" s="75">
        <v>17242725.934999999</v>
      </c>
      <c r="I22" s="75">
        <v>90338871.140699998</v>
      </c>
      <c r="J22" s="75">
        <f>I22/2</f>
        <v>45169435.570349999</v>
      </c>
      <c r="K22" s="75">
        <f t="shared" si="0"/>
        <v>45169435.570349999</v>
      </c>
      <c r="L22" s="75">
        <v>1406176156.52</v>
      </c>
      <c r="M22" s="75">
        <f t="shared" si="1"/>
        <v>4461068277.5792503</v>
      </c>
      <c r="N22" s="78">
        <v>16</v>
      </c>
      <c r="V22" s="4"/>
      <c r="W22" s="4"/>
      <c r="X22" s="3"/>
    </row>
    <row r="23" spans="1:24" ht="18" x14ac:dyDescent="0.35">
      <c r="A23" s="77">
        <v>17</v>
      </c>
      <c r="B23" s="75" t="s">
        <v>49</v>
      </c>
      <c r="C23" s="77">
        <v>27</v>
      </c>
      <c r="D23" s="75">
        <v>2187952901.1698999</v>
      </c>
      <c r="E23" s="75">
        <v>-1573019.1899000001</v>
      </c>
      <c r="F23" s="75">
        <v>638387768.41579998</v>
      </c>
      <c r="G23" s="75">
        <v>319193884.20790005</v>
      </c>
      <c r="H23" s="75">
        <v>18115107.052000001</v>
      </c>
      <c r="I23" s="75">
        <v>94909489.825500011</v>
      </c>
      <c r="J23" s="75"/>
      <c r="K23" s="75">
        <f t="shared" si="0"/>
        <v>94909489.825500011</v>
      </c>
      <c r="L23" s="75">
        <v>1482184667.0785999</v>
      </c>
      <c r="M23" s="75">
        <f t="shared" si="1"/>
        <v>4739170798.5598001</v>
      </c>
      <c r="N23" s="78">
        <v>17</v>
      </c>
      <c r="V23" s="4"/>
      <c r="W23" s="4"/>
      <c r="X23" s="3"/>
    </row>
    <row r="24" spans="1:24" ht="18" x14ac:dyDescent="0.35">
      <c r="A24" s="77">
        <v>18</v>
      </c>
      <c r="B24" s="75" t="s">
        <v>50</v>
      </c>
      <c r="C24" s="77">
        <v>23</v>
      </c>
      <c r="D24" s="75">
        <v>2460560214.6998997</v>
      </c>
      <c r="E24" s="75">
        <v>-1339979.3099</v>
      </c>
      <c r="F24" s="75">
        <v>717927494.54999995</v>
      </c>
      <c r="G24" s="75">
        <v>358963747.27499998</v>
      </c>
      <c r="H24" s="75">
        <v>20372153.2005</v>
      </c>
      <c r="I24" s="75">
        <v>106734708.2916</v>
      </c>
      <c r="J24" s="75"/>
      <c r="K24" s="75">
        <f t="shared" si="0"/>
        <v>106734708.2916</v>
      </c>
      <c r="L24" s="75">
        <v>1576894868.6176</v>
      </c>
      <c r="M24" s="75">
        <f t="shared" si="1"/>
        <v>5240113207.3246994</v>
      </c>
      <c r="N24" s="78">
        <v>18</v>
      </c>
      <c r="V24" s="4"/>
      <c r="W24" s="4"/>
      <c r="X24" s="3"/>
    </row>
    <row r="25" spans="1:24" ht="18" x14ac:dyDescent="0.35">
      <c r="A25" s="77">
        <v>19</v>
      </c>
      <c r="B25" s="75" t="s">
        <v>51</v>
      </c>
      <c r="C25" s="77">
        <v>44</v>
      </c>
      <c r="D25" s="75">
        <v>3917422745.9103003</v>
      </c>
      <c r="E25" s="75">
        <v>-515227883.72030002</v>
      </c>
      <c r="F25" s="75">
        <v>1143002101.8224001</v>
      </c>
      <c r="G25" s="75">
        <v>571501050.91120005</v>
      </c>
      <c r="H25" s="75">
        <v>32434213.9047</v>
      </c>
      <c r="I25" s="75">
        <v>169930803.37669998</v>
      </c>
      <c r="J25" s="75"/>
      <c r="K25" s="75">
        <f t="shared" si="0"/>
        <v>169930803.37669998</v>
      </c>
      <c r="L25" s="75">
        <v>2881339612.0995998</v>
      </c>
      <c r="M25" s="75">
        <f t="shared" si="1"/>
        <v>8200402644.3045998</v>
      </c>
      <c r="N25" s="78">
        <v>19</v>
      </c>
      <c r="V25" s="4"/>
      <c r="W25" s="4"/>
      <c r="X25" s="3"/>
    </row>
    <row r="26" spans="1:24" ht="18" x14ac:dyDescent="0.35">
      <c r="A26" s="77">
        <v>20</v>
      </c>
      <c r="B26" s="75" t="s">
        <v>52</v>
      </c>
      <c r="C26" s="77">
        <v>34</v>
      </c>
      <c r="D26" s="75">
        <v>2982400616.6098003</v>
      </c>
      <c r="E26" s="75">
        <v>-1980838.9798000001</v>
      </c>
      <c r="F26" s="75">
        <v>870186955.66320002</v>
      </c>
      <c r="G26" s="75">
        <v>435093477.83160001</v>
      </c>
      <c r="H26" s="75">
        <v>24692719.122699998</v>
      </c>
      <c r="I26" s="75">
        <v>129371213.0759</v>
      </c>
      <c r="J26" s="75"/>
      <c r="K26" s="75">
        <f t="shared" si="0"/>
        <v>129371213.0759</v>
      </c>
      <c r="L26" s="75">
        <v>1881843362.1445999</v>
      </c>
      <c r="M26" s="75">
        <f t="shared" si="1"/>
        <v>6321607505.4680004</v>
      </c>
      <c r="N26" s="78">
        <v>20</v>
      </c>
      <c r="O26" s="2"/>
      <c r="V26" s="4"/>
      <c r="W26" s="4"/>
      <c r="X26" s="3"/>
    </row>
    <row r="27" spans="1:24" ht="18" x14ac:dyDescent="0.35">
      <c r="A27" s="77">
        <v>21</v>
      </c>
      <c r="B27" s="75" t="s">
        <v>53</v>
      </c>
      <c r="C27" s="77">
        <v>21</v>
      </c>
      <c r="D27" s="75">
        <v>1882214917.3801</v>
      </c>
      <c r="E27" s="75">
        <v>-1223459.3700999999</v>
      </c>
      <c r="F27" s="75">
        <v>549181374.1372</v>
      </c>
      <c r="G27" s="75">
        <v>274590687.0686</v>
      </c>
      <c r="H27" s="75">
        <v>15583756.261399999</v>
      </c>
      <c r="I27" s="75">
        <v>81647122.045400009</v>
      </c>
      <c r="J27" s="75">
        <f>I27/2</f>
        <v>40823561.022700004</v>
      </c>
      <c r="K27" s="75">
        <f t="shared" si="0"/>
        <v>40823561.022700004</v>
      </c>
      <c r="L27" s="75">
        <v>1112600500.8873</v>
      </c>
      <c r="M27" s="75">
        <f t="shared" si="1"/>
        <v>3873771337.3872004</v>
      </c>
      <c r="N27" s="78">
        <v>21</v>
      </c>
      <c r="V27" s="4"/>
      <c r="W27" s="4"/>
      <c r="X27" s="3"/>
    </row>
    <row r="28" spans="1:24" ht="18" x14ac:dyDescent="0.35">
      <c r="A28" s="77">
        <v>22</v>
      </c>
      <c r="B28" s="75" t="s">
        <v>54</v>
      </c>
      <c r="C28" s="77">
        <v>21</v>
      </c>
      <c r="D28" s="75">
        <v>1945406986.5601001</v>
      </c>
      <c r="E28" s="75">
        <v>-188366458.1401</v>
      </c>
      <c r="F28" s="75">
        <v>567619176.89339995</v>
      </c>
      <c r="G28" s="75">
        <v>283809588.44670004</v>
      </c>
      <c r="H28" s="75">
        <v>16106953.583000001</v>
      </c>
      <c r="I28" s="75">
        <v>84388281.164400011</v>
      </c>
      <c r="J28" s="75">
        <f>I28/2</f>
        <v>42194140.582200006</v>
      </c>
      <c r="K28" s="75">
        <f t="shared" si="0"/>
        <v>42194140.582200006</v>
      </c>
      <c r="L28" s="75">
        <v>1134182427.6966</v>
      </c>
      <c r="M28" s="75">
        <f t="shared" si="1"/>
        <v>3800952815.6219006</v>
      </c>
      <c r="N28" s="78">
        <v>22</v>
      </c>
      <c r="V28" s="4"/>
      <c r="W28" s="4"/>
      <c r="X28" s="3"/>
    </row>
    <row r="29" spans="1:24" ht="18" x14ac:dyDescent="0.35">
      <c r="A29" s="77">
        <v>23</v>
      </c>
      <c r="B29" s="75" t="s">
        <v>55</v>
      </c>
      <c r="C29" s="77">
        <v>16</v>
      </c>
      <c r="D29" s="75">
        <v>1376579214.4899001</v>
      </c>
      <c r="E29" s="75">
        <v>-932159.51989999996</v>
      </c>
      <c r="F29" s="75">
        <v>401650022.87919998</v>
      </c>
      <c r="G29" s="75">
        <v>200825011.43959999</v>
      </c>
      <c r="H29" s="75">
        <v>11397356.7817</v>
      </c>
      <c r="I29" s="75">
        <v>59713548.167599998</v>
      </c>
      <c r="J29" s="75">
        <f>I29/2</f>
        <v>29856774.083799999</v>
      </c>
      <c r="K29" s="75">
        <f t="shared" si="0"/>
        <v>29856774.083799999</v>
      </c>
      <c r="L29" s="75">
        <v>881979671.72850001</v>
      </c>
      <c r="M29" s="75">
        <f t="shared" si="1"/>
        <v>2901355891.8828001</v>
      </c>
      <c r="N29" s="78">
        <v>23</v>
      </c>
      <c r="V29" s="4"/>
      <c r="W29" s="4"/>
      <c r="X29" s="3"/>
    </row>
    <row r="30" spans="1:24" ht="18" x14ac:dyDescent="0.35">
      <c r="A30" s="77">
        <v>24</v>
      </c>
      <c r="B30" s="75" t="s">
        <v>56</v>
      </c>
      <c r="C30" s="77">
        <v>20</v>
      </c>
      <c r="D30" s="75">
        <v>2344997444.5302</v>
      </c>
      <c r="E30" s="75">
        <v>-1165199.4002</v>
      </c>
      <c r="F30" s="75">
        <v>684209282.92859995</v>
      </c>
      <c r="G30" s="75">
        <v>342104641.46429998</v>
      </c>
      <c r="H30" s="75">
        <v>19415353.8323</v>
      </c>
      <c r="I30" s="75">
        <v>101721801.68259999</v>
      </c>
      <c r="J30" s="75"/>
      <c r="K30" s="75">
        <f t="shared" si="0"/>
        <v>101721801.68259999</v>
      </c>
      <c r="L30" s="75">
        <v>6303661682.4806004</v>
      </c>
      <c r="M30" s="75">
        <f t="shared" si="1"/>
        <v>9794945007.5184002</v>
      </c>
      <c r="N30" s="78">
        <v>24</v>
      </c>
      <c r="V30" s="4"/>
      <c r="W30" s="4"/>
      <c r="X30" s="3"/>
    </row>
    <row r="31" spans="1:24" ht="18" x14ac:dyDescent="0.35">
      <c r="A31" s="77">
        <v>25</v>
      </c>
      <c r="B31" s="75" t="s">
        <v>57</v>
      </c>
      <c r="C31" s="77">
        <v>13</v>
      </c>
      <c r="D31" s="75">
        <v>1228145918.78</v>
      </c>
      <c r="E31" s="75">
        <v>-39995506.850000001</v>
      </c>
      <c r="F31" s="75">
        <v>358341046.53719997</v>
      </c>
      <c r="G31" s="75">
        <v>179170523.26860002</v>
      </c>
      <c r="H31" s="75">
        <v>10168406.6336</v>
      </c>
      <c r="I31" s="75">
        <v>53274776.8565</v>
      </c>
      <c r="J31" s="75"/>
      <c r="K31" s="75">
        <f t="shared" si="0"/>
        <v>53274776.8565</v>
      </c>
      <c r="L31" s="75">
        <v>691063829.03069997</v>
      </c>
      <c r="M31" s="75">
        <f t="shared" si="1"/>
        <v>2480168994.2565999</v>
      </c>
      <c r="N31" s="78">
        <v>25</v>
      </c>
      <c r="V31" s="4"/>
      <c r="W31" s="4"/>
      <c r="X31" s="3"/>
    </row>
    <row r="32" spans="1:24" ht="18" x14ac:dyDescent="0.35">
      <c r="A32" s="77">
        <v>26</v>
      </c>
      <c r="B32" s="75" t="s">
        <v>58</v>
      </c>
      <c r="C32" s="77">
        <v>25</v>
      </c>
      <c r="D32" s="75">
        <v>2273203360</v>
      </c>
      <c r="E32" s="75">
        <v>-1456499.25</v>
      </c>
      <c r="F32" s="75">
        <v>663261635.73800004</v>
      </c>
      <c r="G32" s="75">
        <v>331630817.86899996</v>
      </c>
      <c r="H32" s="75">
        <v>18820936.317299999</v>
      </c>
      <c r="I32" s="75">
        <v>98607502.497400001</v>
      </c>
      <c r="J32" s="75">
        <f>I32/2</f>
        <v>49303751.2487</v>
      </c>
      <c r="K32" s="75">
        <f t="shared" si="0"/>
        <v>49303751.2487</v>
      </c>
      <c r="L32" s="75">
        <v>1356957312.0379</v>
      </c>
      <c r="M32" s="75">
        <f t="shared" si="1"/>
        <v>4691721313.9608994</v>
      </c>
      <c r="N32" s="78">
        <v>26</v>
      </c>
      <c r="V32" s="4"/>
      <c r="W32" s="4"/>
      <c r="X32" s="3"/>
    </row>
    <row r="33" spans="1:24" ht="18" x14ac:dyDescent="0.35">
      <c r="A33" s="77">
        <v>27</v>
      </c>
      <c r="B33" s="75" t="s">
        <v>59</v>
      </c>
      <c r="C33" s="77">
        <v>20</v>
      </c>
      <c r="D33" s="75">
        <v>1621695057.95</v>
      </c>
      <c r="E33" s="75">
        <f>-115776950.4-116519934</f>
        <v>-232296884.40000001</v>
      </c>
      <c r="F33" s="75">
        <v>473168452.83340001</v>
      </c>
      <c r="G33" s="75">
        <v>236584226.41670001</v>
      </c>
      <c r="H33" s="75">
        <v>13426787.919</v>
      </c>
      <c r="I33" s="75">
        <v>70346235.753099993</v>
      </c>
      <c r="J33" s="75"/>
      <c r="K33" s="75">
        <f t="shared" si="0"/>
        <v>70346235.753099993</v>
      </c>
      <c r="L33" s="75">
        <v>1190793877.0074999</v>
      </c>
      <c r="M33" s="75">
        <f t="shared" si="1"/>
        <v>3373717753.4797001</v>
      </c>
      <c r="N33" s="78">
        <v>27</v>
      </c>
      <c r="V33" s="4"/>
      <c r="W33" s="4"/>
      <c r="X33" s="3"/>
    </row>
    <row r="34" spans="1:24" ht="18" x14ac:dyDescent="0.35">
      <c r="A34" s="77">
        <v>28</v>
      </c>
      <c r="B34" s="75" t="s">
        <v>60</v>
      </c>
      <c r="C34" s="77">
        <v>18</v>
      </c>
      <c r="D34" s="75">
        <v>1548821359.75</v>
      </c>
      <c r="E34" s="75">
        <f>-47177126.82-1048679.46</f>
        <v>-48225806.280000001</v>
      </c>
      <c r="F34" s="75">
        <v>451905802.44940001</v>
      </c>
      <c r="G34" s="75">
        <v>225952901.2247</v>
      </c>
      <c r="H34" s="75">
        <v>12823431.7667</v>
      </c>
      <c r="I34" s="75">
        <v>67185104.855999991</v>
      </c>
      <c r="J34" s="75">
        <f>I34/2</f>
        <v>33592552.427999996</v>
      </c>
      <c r="K34" s="75">
        <f t="shared" si="0"/>
        <v>33592552.427999996</v>
      </c>
      <c r="L34" s="75">
        <v>1055594123.9175</v>
      </c>
      <c r="M34" s="75">
        <f t="shared" si="1"/>
        <v>3280464365.2563</v>
      </c>
      <c r="N34" s="78">
        <v>28</v>
      </c>
      <c r="V34" s="4"/>
      <c r="W34" s="4"/>
      <c r="X34" s="3"/>
    </row>
    <row r="35" spans="1:24" ht="18" x14ac:dyDescent="0.35">
      <c r="A35" s="77">
        <v>29</v>
      </c>
      <c r="B35" s="75" t="s">
        <v>61</v>
      </c>
      <c r="C35" s="77">
        <v>30</v>
      </c>
      <c r="D35" s="75">
        <v>2097917690.9698999</v>
      </c>
      <c r="E35" s="75">
        <v>-83776444.199900001</v>
      </c>
      <c r="F35" s="75">
        <v>612117835.05040002</v>
      </c>
      <c r="G35" s="75">
        <v>306058917.52520001</v>
      </c>
      <c r="H35" s="75">
        <v>17369662.545400001</v>
      </c>
      <c r="I35" s="75">
        <v>91003923.182700008</v>
      </c>
      <c r="J35" s="75"/>
      <c r="K35" s="75">
        <f t="shared" si="0"/>
        <v>91003923.182700008</v>
      </c>
      <c r="L35" s="75">
        <v>1451976416.6624</v>
      </c>
      <c r="M35" s="75">
        <f t="shared" si="1"/>
        <v>4492668001.7361002</v>
      </c>
      <c r="N35" s="78">
        <v>29</v>
      </c>
      <c r="V35" s="4"/>
      <c r="W35" s="4"/>
      <c r="X35" s="3"/>
    </row>
    <row r="36" spans="1:24" ht="18" x14ac:dyDescent="0.35">
      <c r="A36" s="77">
        <v>30</v>
      </c>
      <c r="B36" s="75" t="s">
        <v>62</v>
      </c>
      <c r="C36" s="77">
        <v>33</v>
      </c>
      <c r="D36" s="75">
        <v>2646359478.5297999</v>
      </c>
      <c r="E36" s="75">
        <v>-85611160.469799995</v>
      </c>
      <c r="F36" s="75">
        <v>772138888.84660006</v>
      </c>
      <c r="G36" s="75">
        <v>386069444.42330003</v>
      </c>
      <c r="H36" s="75">
        <v>21910474.044799998</v>
      </c>
      <c r="I36" s="75">
        <v>114794348.57429999</v>
      </c>
      <c r="J36" s="75"/>
      <c r="K36" s="75">
        <f t="shared" si="0"/>
        <v>114794348.57429999</v>
      </c>
      <c r="L36" s="75">
        <v>2429880843.5609002</v>
      </c>
      <c r="M36" s="75">
        <f t="shared" si="1"/>
        <v>6285542317.5098991</v>
      </c>
      <c r="N36" s="78">
        <v>30</v>
      </c>
      <c r="V36" s="4"/>
      <c r="W36" s="4"/>
      <c r="X36" s="3"/>
    </row>
    <row r="37" spans="1:24" ht="18" x14ac:dyDescent="0.35">
      <c r="A37" s="77">
        <v>31</v>
      </c>
      <c r="B37" s="75" t="s">
        <v>63</v>
      </c>
      <c r="C37" s="77">
        <v>17</v>
      </c>
      <c r="D37" s="75">
        <v>1658912818.0502</v>
      </c>
      <c r="E37" s="75">
        <v>-990419.4902</v>
      </c>
      <c r="F37" s="75">
        <v>484027627.54839998</v>
      </c>
      <c r="G37" s="75">
        <v>242013813.77419999</v>
      </c>
      <c r="H37" s="75">
        <v>13734931.5305</v>
      </c>
      <c r="I37" s="75">
        <v>71960675.726699993</v>
      </c>
      <c r="J37" s="75">
        <f>I37/2</f>
        <v>35980337.863349997</v>
      </c>
      <c r="K37" s="75">
        <f t="shared" si="0"/>
        <v>35980337.863349997</v>
      </c>
      <c r="L37" s="75">
        <v>991983715.01810002</v>
      </c>
      <c r="M37" s="75">
        <f t="shared" si="1"/>
        <v>3425662824.2945499</v>
      </c>
      <c r="N37" s="78">
        <v>31</v>
      </c>
      <c r="V37" s="4"/>
      <c r="W37" s="4"/>
      <c r="X37" s="3"/>
    </row>
    <row r="38" spans="1:24" ht="18" x14ac:dyDescent="0.35">
      <c r="A38" s="77">
        <v>32</v>
      </c>
      <c r="B38" s="75" t="s">
        <v>64</v>
      </c>
      <c r="C38" s="77">
        <v>23</v>
      </c>
      <c r="D38" s="75">
        <v>2056314402.9603002</v>
      </c>
      <c r="E38" s="75">
        <v>-1339979.3103</v>
      </c>
      <c r="F38" s="75">
        <v>599979077.32980001</v>
      </c>
      <c r="G38" s="75">
        <v>299989538.66489995</v>
      </c>
      <c r="H38" s="75">
        <v>17025209.053800002</v>
      </c>
      <c r="I38" s="75">
        <v>89199246.839999989</v>
      </c>
      <c r="J38" s="75">
        <f>I38/2</f>
        <v>44599623.419999994</v>
      </c>
      <c r="K38" s="75">
        <f t="shared" si="0"/>
        <v>44599623.419999994</v>
      </c>
      <c r="L38" s="75">
        <v>2382280601.8931999</v>
      </c>
      <c r="M38" s="75">
        <f t="shared" si="1"/>
        <v>5398848474.0116997</v>
      </c>
      <c r="N38" s="78">
        <v>32</v>
      </c>
      <c r="V38" s="4"/>
      <c r="W38" s="4"/>
      <c r="X38" s="3"/>
    </row>
    <row r="39" spans="1:24" ht="18" x14ac:dyDescent="0.35">
      <c r="A39" s="77">
        <v>33</v>
      </c>
      <c r="B39" s="75" t="s">
        <v>65</v>
      </c>
      <c r="C39" s="77">
        <v>23</v>
      </c>
      <c r="D39" s="75">
        <v>2071026871.7600999</v>
      </c>
      <c r="E39" s="75">
        <v>-37329017.480099998</v>
      </c>
      <c r="F39" s="75">
        <v>604271793.18840003</v>
      </c>
      <c r="G39" s="75">
        <v>302135896.59420002</v>
      </c>
      <c r="H39" s="75">
        <v>17147020.6096</v>
      </c>
      <c r="I39" s="75">
        <v>89837447.464900002</v>
      </c>
      <c r="J39" s="75"/>
      <c r="K39" s="75">
        <f t="shared" si="0"/>
        <v>89837447.464900002</v>
      </c>
      <c r="L39" s="75">
        <v>1291961425.3136001</v>
      </c>
      <c r="M39" s="75">
        <f t="shared" si="1"/>
        <v>4339051437.4507008</v>
      </c>
      <c r="N39" s="78">
        <v>33</v>
      </c>
      <c r="V39" s="4"/>
      <c r="W39" s="4"/>
      <c r="X39" s="3"/>
    </row>
    <row r="40" spans="1:24" ht="18" x14ac:dyDescent="0.35">
      <c r="A40" s="77">
        <v>34</v>
      </c>
      <c r="B40" s="75" t="s">
        <v>66</v>
      </c>
      <c r="C40" s="77">
        <v>16</v>
      </c>
      <c r="D40" s="75">
        <v>1552241569.1299999</v>
      </c>
      <c r="E40" s="75">
        <v>-932159.52</v>
      </c>
      <c r="F40" s="75">
        <v>452903730.68000001</v>
      </c>
      <c r="G40" s="75">
        <v>226451865.34</v>
      </c>
      <c r="H40" s="75">
        <v>12851749.3137</v>
      </c>
      <c r="I40" s="75">
        <v>67333467.431800008</v>
      </c>
      <c r="J40" s="75"/>
      <c r="K40" s="75">
        <f t="shared" si="0"/>
        <v>67333467.431800008</v>
      </c>
      <c r="L40" s="75">
        <v>872755173.63810003</v>
      </c>
      <c r="M40" s="75">
        <f t="shared" si="1"/>
        <v>3183605396.0136003</v>
      </c>
      <c r="N40" s="78">
        <v>34</v>
      </c>
      <c r="V40" s="4"/>
      <c r="W40" s="4"/>
      <c r="X40" s="3"/>
    </row>
    <row r="41" spans="1:24" ht="18" x14ac:dyDescent="0.35">
      <c r="A41" s="77">
        <v>35</v>
      </c>
      <c r="B41" s="75" t="s">
        <v>67</v>
      </c>
      <c r="C41" s="77">
        <v>17</v>
      </c>
      <c r="D41" s="75">
        <v>1560642863.3701</v>
      </c>
      <c r="E41" s="75">
        <v>-990419.49010000005</v>
      </c>
      <c r="F41" s="75">
        <v>455355009.84259999</v>
      </c>
      <c r="G41" s="75">
        <v>227677504.92129999</v>
      </c>
      <c r="H41" s="75">
        <v>12921307.641100001</v>
      </c>
      <c r="I41" s="75">
        <v>67697900.573600009</v>
      </c>
      <c r="J41" s="75"/>
      <c r="K41" s="75">
        <f t="shared" si="0"/>
        <v>67697900.573600009</v>
      </c>
      <c r="L41" s="75">
        <v>927854924.82749999</v>
      </c>
      <c r="M41" s="75">
        <f t="shared" si="1"/>
        <v>3251159091.6860995</v>
      </c>
      <c r="N41" s="78">
        <v>35</v>
      </c>
      <c r="V41" s="4"/>
      <c r="W41" s="4"/>
      <c r="X41" s="3"/>
    </row>
    <row r="42" spans="1:24" ht="18" x14ac:dyDescent="0.35">
      <c r="A42" s="77">
        <v>36</v>
      </c>
      <c r="B42" s="75" t="s">
        <v>68</v>
      </c>
      <c r="C42" s="77">
        <v>14</v>
      </c>
      <c r="D42" s="75">
        <v>1410145153.1301</v>
      </c>
      <c r="E42" s="75">
        <v>-815639.58010000002</v>
      </c>
      <c r="F42" s="75">
        <v>411443691.02999997</v>
      </c>
      <c r="G42" s="75">
        <v>205721845.51089999</v>
      </c>
      <c r="H42" s="75">
        <v>11675265.218900001</v>
      </c>
      <c r="I42" s="75">
        <v>61169578.647000007</v>
      </c>
      <c r="J42" s="75"/>
      <c r="K42" s="75">
        <f t="shared" si="0"/>
        <v>61169578.647000007</v>
      </c>
      <c r="L42" s="75">
        <v>871191240.98150003</v>
      </c>
      <c r="M42" s="75">
        <f t="shared" si="1"/>
        <v>2970531134.9383001</v>
      </c>
      <c r="N42" s="78">
        <v>36</v>
      </c>
      <c r="V42" s="4"/>
      <c r="W42" s="4"/>
      <c r="X42" s="3"/>
    </row>
    <row r="43" spans="1:24" ht="18" x14ac:dyDescent="0.35">
      <c r="A43" s="77">
        <v>37</v>
      </c>
      <c r="B43" s="75" t="s">
        <v>112</v>
      </c>
      <c r="C43" s="77">
        <v>6</v>
      </c>
      <c r="D43" s="75">
        <v>622817797.3700999</v>
      </c>
      <c r="E43" s="75">
        <v>-349559.82010000001</v>
      </c>
      <c r="F43" s="75">
        <v>181722039.63060001</v>
      </c>
      <c r="G43" s="75">
        <v>90861019.815300003</v>
      </c>
      <c r="H43" s="75">
        <v>5156606.0071</v>
      </c>
      <c r="I43" s="75">
        <v>27016723.884300005</v>
      </c>
      <c r="J43" s="75"/>
      <c r="K43" s="75">
        <f t="shared" si="0"/>
        <v>27016723.884300005</v>
      </c>
      <c r="L43" s="75">
        <v>3575859288.0584998</v>
      </c>
      <c r="M43" s="75">
        <f t="shared" si="1"/>
        <v>4503083914.9457998</v>
      </c>
      <c r="N43" s="78">
        <v>37</v>
      </c>
      <c r="V43" s="4"/>
      <c r="W43" s="4"/>
      <c r="X43" s="3"/>
    </row>
    <row r="44" spans="1:24" ht="18" x14ac:dyDescent="0.35">
      <c r="A44" s="77"/>
      <c r="B44" s="79" t="s">
        <v>113</v>
      </c>
      <c r="C44" s="75"/>
      <c r="D44" s="80">
        <f>SUM(D7:D43)</f>
        <v>68546203714.71859</v>
      </c>
      <c r="E44" s="80">
        <f>SUM(E7:E43)</f>
        <v>-1538874700.9486001</v>
      </c>
      <c r="F44" s="80">
        <f t="shared" ref="F44:G44" si="2">SUM(F7:F43)</f>
        <v>20000000000.002602</v>
      </c>
      <c r="G44" s="80">
        <f t="shared" si="2"/>
        <v>9999999999.9972019</v>
      </c>
      <c r="H44" s="80">
        <f t="shared" ref="H44:M44" si="3">SUM(H7:H43)</f>
        <v>567526758.75440001</v>
      </c>
      <c r="I44" s="80">
        <f t="shared" si="3"/>
        <v>2973411914.2025995</v>
      </c>
      <c r="J44" s="80">
        <f t="shared" si="3"/>
        <v>581005401.08634996</v>
      </c>
      <c r="K44" s="80">
        <f t="shared" si="3"/>
        <v>2392406513.11625</v>
      </c>
      <c r="L44" s="80">
        <f t="shared" si="3"/>
        <v>54195452245.123291</v>
      </c>
      <c r="M44" s="80">
        <f t="shared" si="3"/>
        <v>154162714530.76382</v>
      </c>
      <c r="N44" s="78"/>
    </row>
    <row r="46" spans="1:24" x14ac:dyDescent="0.25">
      <c r="L46" s="3"/>
      <c r="M46" s="3"/>
    </row>
    <row r="47" spans="1:24" x14ac:dyDescent="0.25">
      <c r="L47" s="3"/>
      <c r="M47" s="3"/>
    </row>
    <row r="48" spans="1:24" x14ac:dyDescent="0.25">
      <c r="M48" s="3"/>
    </row>
    <row r="49" spans="12:12" x14ac:dyDescent="0.25">
      <c r="L49" s="3"/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MONTHENTRY</vt:lpstr>
      <vt:lpstr>Sum &amp; FG</vt:lpstr>
      <vt:lpstr>SG Details</vt:lpstr>
      <vt:lpstr>summary (2)</vt:lpstr>
      <vt:lpstr>acctmonth</vt:lpstr>
      <vt:lpstr>previuosmonth</vt:lpstr>
      <vt:lpstr>'SG Details'!Print_Area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FAAC</cp:lastModifiedBy>
  <cp:lastPrinted>2022-02-02T16:09:14Z</cp:lastPrinted>
  <dcterms:created xsi:type="dcterms:W3CDTF">2003-11-12T08:54:16Z</dcterms:created>
  <dcterms:modified xsi:type="dcterms:W3CDTF">2022-02-07T15:44:06Z</dcterms:modified>
</cp:coreProperties>
</file>